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G:\!System\!Project\React\CRM\"/>
    </mc:Choice>
  </mc:AlternateContent>
  <xr:revisionPtr revIDLastSave="0" documentId="13_ncr:1_{E6AE9DD8-A12E-4BC0-AC76-6B32AB233D0F}" xr6:coauthVersionLast="47" xr6:coauthVersionMax="47" xr10:uidLastSave="{00000000-0000-0000-0000-000000000000}"/>
  <bookViews>
    <workbookView xWindow="-26670" yWindow="600" windowWidth="26760" windowHeight="15045" tabRatio="515" activeTab="1" xr2:uid="{056F9F9C-AE5C-4E22-B91C-EF51260B0716}"/>
  </bookViews>
  <sheets>
    <sheet name="Клиенты" sheetId="3" r:id="rId1"/>
    <sheet name="Заказы" sheetId="1" r:id="rId2"/>
    <sheet name="Позиции" sheetId="2" r:id="rId3"/>
  </sheets>
  <definedNames>
    <definedName name="Клиенты">ТабКлиенты[name]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36" i="2" l="1"/>
  <c r="N1634" i="2"/>
  <c r="L1634" i="2"/>
  <c r="N1633" i="2"/>
  <c r="L1633" i="2"/>
  <c r="N1632" i="2"/>
  <c r="L1632" i="2"/>
  <c r="N1631" i="2"/>
  <c r="L1631" i="2"/>
  <c r="N1630" i="2"/>
  <c r="L1630" i="2"/>
  <c r="N1629" i="2"/>
  <c r="L1629" i="2"/>
  <c r="N1628" i="2"/>
  <c r="L1628" i="2"/>
  <c r="N1627" i="2"/>
  <c r="L1627" i="2"/>
  <c r="N1626" i="2"/>
  <c r="L1626" i="2"/>
  <c r="N1625" i="2"/>
  <c r="L1625" i="2"/>
  <c r="N1624" i="2"/>
  <c r="L1624" i="2"/>
  <c r="N1623" i="2"/>
  <c r="L1623" i="2"/>
  <c r="N1622" i="2"/>
  <c r="L1622" i="2"/>
  <c r="N1621" i="2"/>
  <c r="L1621" i="2"/>
  <c r="N1620" i="2"/>
  <c r="L1620" i="2"/>
  <c r="N1619" i="2"/>
  <c r="L1619" i="2"/>
  <c r="N1618" i="2"/>
  <c r="L1618" i="2"/>
  <c r="N1617" i="2"/>
  <c r="L1617" i="2"/>
  <c r="N1616" i="2"/>
  <c r="L1616" i="2"/>
  <c r="N1615" i="2"/>
  <c r="L1615" i="2"/>
  <c r="N1614" i="2"/>
  <c r="L1614" i="2"/>
  <c r="N1613" i="2"/>
  <c r="L1613" i="2"/>
  <c r="P1645" i="2"/>
  <c r="N1645" i="2"/>
  <c r="L1645" i="2"/>
  <c r="P1644" i="2"/>
  <c r="N1644" i="2"/>
  <c r="L1644" i="2"/>
  <c r="P1643" i="2"/>
  <c r="N1643" i="2"/>
  <c r="L1643" i="2"/>
  <c r="P1642" i="2"/>
  <c r="N1642" i="2"/>
  <c r="L1642" i="2"/>
  <c r="P1641" i="2"/>
  <c r="N1641" i="2"/>
  <c r="L1641" i="2"/>
  <c r="N1640" i="2"/>
  <c r="L1640" i="2"/>
  <c r="N1639" i="2"/>
  <c r="L1639" i="2"/>
  <c r="N1638" i="2"/>
  <c r="L1638" i="2"/>
  <c r="N1637" i="2"/>
  <c r="L1637" i="2"/>
  <c r="L1636" i="2"/>
  <c r="N1635" i="2"/>
  <c r="L1635" i="2"/>
  <c r="O1610" i="2"/>
  <c r="N1577" i="2"/>
  <c r="K1565" i="2"/>
  <c r="L1565" i="2" s="1"/>
  <c r="N1535" i="2"/>
  <c r="K1520" i="2"/>
  <c r="A3" i="1"/>
  <c r="A4" i="1" s="1"/>
  <c r="E9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P40" i="2" s="1"/>
  <c r="N41" i="2"/>
  <c r="N42" i="2"/>
  <c r="N43" i="2"/>
  <c r="N44" i="2"/>
  <c r="P44" i="2" s="1"/>
  <c r="Q44" i="2" s="1"/>
  <c r="S44" i="2" s="1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P58" i="2" s="1"/>
  <c r="Q58" i="2" s="1"/>
  <c r="S58" i="2" s="1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P86" i="2" s="1"/>
  <c r="N87" i="2"/>
  <c r="P87" i="2" s="1"/>
  <c r="Q87" i="2" s="1"/>
  <c r="S87" i="2" s="1"/>
  <c r="N88" i="2"/>
  <c r="P88" i="2" s="1"/>
  <c r="Q88" i="2" s="1"/>
  <c r="S88" i="2" s="1"/>
  <c r="N89" i="2"/>
  <c r="N90" i="2"/>
  <c r="N91" i="2"/>
  <c r="P91" i="2" s="1"/>
  <c r="N92" i="2"/>
  <c r="P92" i="2" s="1"/>
  <c r="Q92" i="2" s="1"/>
  <c r="N93" i="2"/>
  <c r="N94" i="2"/>
  <c r="N95" i="2"/>
  <c r="P95" i="2" s="1"/>
  <c r="N96" i="2"/>
  <c r="P96" i="2" s="1"/>
  <c r="Q96" i="2" s="1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P208" i="2" s="1"/>
  <c r="Q208" i="2" s="1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P325" i="2" s="1"/>
  <c r="Q325" i="2" s="1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P390" i="2" s="1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M443" i="2"/>
  <c r="N443" i="2" s="1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P465" i="2" s="1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M510" i="2"/>
  <c r="N510" i="2" s="1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P544" i="2" s="1"/>
  <c r="N545" i="2"/>
  <c r="N546" i="2"/>
  <c r="N547" i="2"/>
  <c r="P547" i="2" s="1"/>
  <c r="N548" i="2"/>
  <c r="N549" i="2"/>
  <c r="N550" i="2"/>
  <c r="N551" i="2"/>
  <c r="N552" i="2"/>
  <c r="N553" i="2"/>
  <c r="N554" i="2"/>
  <c r="N555" i="2"/>
  <c r="N556" i="2"/>
  <c r="N557" i="2"/>
  <c r="P557" i="2" s="1"/>
  <c r="Q557" i="2" s="1"/>
  <c r="S557" i="2" s="1"/>
  <c r="N558" i="2"/>
  <c r="N559" i="2"/>
  <c r="N560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P617" i="2" s="1"/>
  <c r="Q617" i="2" s="1"/>
  <c r="S617" i="2" s="1"/>
  <c r="N618" i="2"/>
  <c r="N619" i="2"/>
  <c r="N620" i="2"/>
  <c r="N621" i="2"/>
  <c r="N622" i="2"/>
  <c r="N623" i="2"/>
  <c r="N624" i="2"/>
  <c r="N625" i="2"/>
  <c r="N626" i="2"/>
  <c r="N627" i="2"/>
  <c r="N628" i="2"/>
  <c r="N629" i="2"/>
  <c r="M630" i="2"/>
  <c r="N630" i="2" s="1"/>
  <c r="N631" i="2"/>
  <c r="N632" i="2"/>
  <c r="N633" i="2"/>
  <c r="N634" i="2"/>
  <c r="N635" i="2"/>
  <c r="N636" i="2"/>
  <c r="N637" i="2"/>
  <c r="N638" i="2"/>
  <c r="P638" i="2" s="1"/>
  <c r="Q638" i="2" s="1"/>
  <c r="S638" i="2" s="1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P680" i="2" s="1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M703" i="2"/>
  <c r="N703" i="2" s="1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Q721" i="2" s="1"/>
  <c r="S721" i="2" s="1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P743" i="2" s="1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P815" i="2" s="1"/>
  <c r="Q815" i="2" s="1"/>
  <c r="S815" i="2" s="1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O862" i="2" s="1"/>
  <c r="N863" i="2"/>
  <c r="O863" i="2" s="1"/>
  <c r="N864" i="2"/>
  <c r="N865" i="2"/>
  <c r="N866" i="2"/>
  <c r="N867" i="2"/>
  <c r="N868" i="2"/>
  <c r="N869" i="2"/>
  <c r="N870" i="2"/>
  <c r="N871" i="2"/>
  <c r="N872" i="2"/>
  <c r="N873" i="2"/>
  <c r="P873" i="2" s="1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P894" i="2" s="1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M917" i="2"/>
  <c r="N917" i="2" s="1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P932" i="2" s="1"/>
  <c r="Q932" i="2" s="1"/>
  <c r="S932" i="2" s="1"/>
  <c r="M933" i="2"/>
  <c r="N933" i="2" s="1"/>
  <c r="P933" i="2" s="1"/>
  <c r="Q933" i="2" s="1"/>
  <c r="S933" i="2" s="1"/>
  <c r="N934" i="2"/>
  <c r="M935" i="2"/>
  <c r="N935" i="2" s="1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M998" i="2"/>
  <c r="N998" i="2" s="1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M1032" i="2"/>
  <c r="N1032" i="2" s="1"/>
  <c r="N1033" i="2"/>
  <c r="N1034" i="2"/>
  <c r="N1035" i="2"/>
  <c r="N1036" i="2"/>
  <c r="N1037" i="2"/>
  <c r="N1038" i="2"/>
  <c r="N1039" i="2"/>
  <c r="P1039" i="2" s="1"/>
  <c r="Q1039" i="2" s="1"/>
  <c r="S1039" i="2" s="1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P1053" i="2" s="1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M1083" i="2"/>
  <c r="N1083" i="2" s="1"/>
  <c r="N1084" i="2"/>
  <c r="M1085" i="2"/>
  <c r="N1085" i="2" s="1"/>
  <c r="N1086" i="2"/>
  <c r="N1087" i="2"/>
  <c r="N1088" i="2"/>
  <c r="N1089" i="2"/>
  <c r="N1090" i="2"/>
  <c r="N1091" i="2"/>
  <c r="P1091" i="2" s="1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P1138" i="2" s="1"/>
  <c r="N1139" i="2"/>
  <c r="P1139" i="2" s="1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P1199" i="2" s="1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M1219" i="2"/>
  <c r="N1219" i="2"/>
  <c r="M1220" i="2"/>
  <c r="N1220" i="2" s="1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P1278" i="2" s="1"/>
  <c r="Q1278" i="2" s="1"/>
  <c r="N1279" i="2"/>
  <c r="P1279" i="2" s="1"/>
  <c r="N1280" i="2"/>
  <c r="N1281" i="2"/>
  <c r="N1282" i="2"/>
  <c r="N1283" i="2"/>
  <c r="N1284" i="2"/>
  <c r="N1285" i="2"/>
  <c r="N1286" i="2"/>
  <c r="N1287" i="2"/>
  <c r="N1288" i="2"/>
  <c r="N1327" i="2"/>
  <c r="N1289" i="2"/>
  <c r="N1290" i="2"/>
  <c r="N1291" i="2"/>
  <c r="N1292" i="2"/>
  <c r="N1293" i="2"/>
  <c r="N1294" i="2"/>
  <c r="N1295" i="2"/>
  <c r="N1296" i="2"/>
  <c r="N1297" i="2"/>
  <c r="P1297" i="2" s="1"/>
  <c r="Q1297" i="2" s="1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P1312" i="2" s="1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P1412" i="2" s="1"/>
  <c r="Q1412" i="2" s="1"/>
  <c r="S1412" i="2" s="1"/>
  <c r="W1412" i="2" s="1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P1483" i="2" s="1"/>
  <c r="Q1483" i="2" s="1"/>
  <c r="S1483" i="2" s="1"/>
  <c r="V1483" i="2" s="1"/>
  <c r="N1484" i="2"/>
  <c r="N1485" i="2"/>
  <c r="N1486" i="2"/>
  <c r="N1487" i="2"/>
  <c r="N1488" i="2"/>
  <c r="P1488" i="2" s="1"/>
  <c r="Q1488" i="2" s="1"/>
  <c r="N1489" i="2"/>
  <c r="P1489" i="2" s="1"/>
  <c r="Q1489" i="2" s="1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1" i="2"/>
  <c r="N1532" i="2"/>
  <c r="N1533" i="2"/>
  <c r="N1534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30" i="2"/>
  <c r="N1560" i="2"/>
  <c r="N1561" i="2"/>
  <c r="N1562" i="2"/>
  <c r="N1563" i="2"/>
  <c r="N1564" i="2"/>
  <c r="N1565" i="2"/>
  <c r="N1566" i="2"/>
  <c r="N1567" i="2"/>
  <c r="N1568" i="2"/>
  <c r="N1569" i="2"/>
  <c r="N1570" i="2"/>
  <c r="P1570" i="2" s="1"/>
  <c r="N1571" i="2"/>
  <c r="P1571" i="2" s="1"/>
  <c r="Q1571" i="2" s="1"/>
  <c r="S1571" i="2" s="1"/>
  <c r="V1571" i="2" s="1"/>
  <c r="N1572" i="2"/>
  <c r="N1573" i="2"/>
  <c r="N1574" i="2"/>
  <c r="N1575" i="2"/>
  <c r="N1576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P1606" i="2" s="1"/>
  <c r="N1607" i="2"/>
  <c r="N1608" i="2"/>
  <c r="N1609" i="2"/>
  <c r="N1610" i="2"/>
  <c r="N1611" i="2"/>
  <c r="N1612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P526" i="2"/>
  <c r="Q526" i="2" s="1"/>
  <c r="S526" i="2" s="1"/>
  <c r="R182" i="2"/>
  <c r="R68" i="2"/>
  <c r="O342" i="2"/>
  <c r="O343" i="2"/>
  <c r="O344" i="2"/>
  <c r="O345" i="2"/>
  <c r="O346" i="2"/>
  <c r="O644" i="2"/>
  <c r="O908" i="2"/>
  <c r="O931" i="2"/>
  <c r="E22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K1409" i="2"/>
  <c r="L1409" i="2" s="1"/>
  <c r="L1289" i="2"/>
  <c r="L1659" i="2"/>
  <c r="E16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4" i="2"/>
  <c r="L1563" i="2"/>
  <c r="L1562" i="2"/>
  <c r="L1561" i="2"/>
  <c r="L1560" i="2"/>
  <c r="L153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K1219" i="2"/>
  <c r="L1219" i="2" s="1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7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6" i="2"/>
  <c r="L1165" i="2"/>
  <c r="L1159" i="2"/>
  <c r="L1157" i="2"/>
  <c r="L1156" i="2"/>
  <c r="L1155" i="2"/>
  <c r="L1154" i="2"/>
  <c r="L1151" i="2"/>
  <c r="L1149" i="2"/>
  <c r="L1148" i="2"/>
  <c r="L1147" i="2"/>
  <c r="L1130" i="2"/>
  <c r="S774" i="2"/>
  <c r="S870" i="2"/>
  <c r="K1220" i="2"/>
  <c r="L1220" i="2" s="1"/>
  <c r="K1085" i="2"/>
  <c r="K1083" i="2"/>
  <c r="K1038" i="2"/>
  <c r="K1032" i="2"/>
  <c r="K998" i="2"/>
  <c r="K935" i="2"/>
  <c r="K933" i="2"/>
  <c r="K932" i="2"/>
  <c r="K916" i="2"/>
  <c r="K917" i="2"/>
  <c r="R844" i="2"/>
  <c r="K443" i="2"/>
  <c r="K509" i="2"/>
  <c r="K510" i="2"/>
  <c r="K630" i="2"/>
  <c r="K703" i="2"/>
  <c r="K759" i="2"/>
  <c r="E10" i="2"/>
  <c r="D11" i="2"/>
  <c r="B11" i="2"/>
  <c r="C11" i="2" s="1"/>
  <c r="D10" i="2"/>
  <c r="B10" i="2"/>
  <c r="C10" i="2" s="1"/>
  <c r="D9" i="2"/>
  <c r="B9" i="2"/>
  <c r="C9" i="2" s="1"/>
  <c r="D8" i="2"/>
  <c r="B8" i="2"/>
  <c r="C8" i="2" s="1"/>
  <c r="J1660" i="2"/>
  <c r="R733" i="2"/>
  <c r="R184" i="2"/>
  <c r="R185" i="2"/>
  <c r="R190" i="2"/>
  <c r="R194" i="2"/>
  <c r="R195" i="2"/>
  <c r="R409" i="2"/>
  <c r="D13" i="2"/>
  <c r="D15" i="2"/>
  <c r="B13" i="2"/>
  <c r="C13" i="2" s="1"/>
  <c r="B12" i="2"/>
  <c r="C12" i="2" s="1"/>
  <c r="B16" i="2"/>
  <c r="C16" i="2" s="1"/>
  <c r="D14" i="2"/>
  <c r="B15" i="2"/>
  <c r="C15" i="2" s="1"/>
  <c r="D16" i="2"/>
  <c r="D12" i="2"/>
  <c r="B14" i="2"/>
  <c r="C14" i="2" s="1"/>
  <c r="D21" i="2"/>
  <c r="B19" i="2"/>
  <c r="C19" i="2" s="1"/>
  <c r="D17" i="2"/>
  <c r="D20" i="2"/>
  <c r="B23" i="2"/>
  <c r="C23" i="2" s="1"/>
  <c r="B24" i="2"/>
  <c r="C24" i="2" s="1"/>
  <c r="E12" i="2"/>
  <c r="E14" i="2"/>
  <c r="E13" i="2"/>
  <c r="E15" i="2"/>
  <c r="D22" i="2"/>
  <c r="B20" i="2"/>
  <c r="C20" i="2" s="1"/>
  <c r="B17" i="2"/>
  <c r="C17" i="2" s="1"/>
  <c r="D18" i="2"/>
  <c r="D23" i="2"/>
  <c r="D19" i="2"/>
  <c r="B22" i="2"/>
  <c r="C22" i="2" s="1"/>
  <c r="B21" i="2"/>
  <c r="C21" i="2" s="1"/>
  <c r="P1277" i="2"/>
  <c r="Q1277" i="2" s="1"/>
  <c r="P742" i="2"/>
  <c r="Q742" i="2" s="1"/>
  <c r="S742" i="2" s="1"/>
  <c r="Q40" i="2"/>
  <c r="E11" i="2" l="1"/>
  <c r="E8" i="2"/>
  <c r="E18" i="2"/>
  <c r="E19" i="2"/>
  <c r="E24" i="2"/>
  <c r="P10" i="2"/>
  <c r="Q10" i="2" s="1"/>
  <c r="S10" i="2" s="1"/>
  <c r="P412" i="2"/>
  <c r="Q412" i="2" s="1"/>
  <c r="S412" i="2" s="1"/>
  <c r="P411" i="2"/>
  <c r="Q411" i="2" s="1"/>
  <c r="S411" i="2" s="1"/>
  <c r="Q1658" i="2"/>
  <c r="S1658" i="2" s="1"/>
  <c r="V1658" i="2" s="1"/>
  <c r="Q1652" i="2"/>
  <c r="S1652" i="2" s="1"/>
  <c r="V1652" i="2" s="1"/>
  <c r="Q1646" i="2"/>
  <c r="S1646" i="2" s="1"/>
  <c r="V1646" i="2" s="1"/>
  <c r="Q1643" i="2"/>
  <c r="S1643" i="2" s="1"/>
  <c r="V1643" i="2" s="1"/>
  <c r="Q1641" i="2"/>
  <c r="S1641" i="2" s="1"/>
  <c r="V1641" i="2" s="1"/>
  <c r="Q1642" i="2"/>
  <c r="S1642" i="2" s="1"/>
  <c r="V1642" i="2" s="1"/>
  <c r="Q1644" i="2"/>
  <c r="S1644" i="2" s="1"/>
  <c r="V1644" i="2" s="1"/>
  <c r="Q1645" i="2"/>
  <c r="S1645" i="2" s="1"/>
  <c r="V1645" i="2" s="1"/>
  <c r="O1660" i="2"/>
  <c r="Q1659" i="2"/>
  <c r="S1659" i="2" s="1"/>
  <c r="V1659" i="2" s="1"/>
  <c r="Q1653" i="2"/>
  <c r="S1653" i="2" s="1"/>
  <c r="V1653" i="2" s="1"/>
  <c r="Q1647" i="2"/>
  <c r="S1647" i="2" s="1"/>
  <c r="V1647" i="2" s="1"/>
  <c r="P217" i="2"/>
  <c r="Q217" i="2" s="1"/>
  <c r="S217" i="2" s="1"/>
  <c r="A5" i="1"/>
  <c r="D24" i="2"/>
  <c r="B18" i="2"/>
  <c r="C18" i="2" s="1"/>
  <c r="E21" i="2"/>
  <c r="P514" i="2"/>
  <c r="Q514" i="2" s="1"/>
  <c r="S514" i="2" s="1"/>
  <c r="V514" i="2" s="1"/>
  <c r="P780" i="2"/>
  <c r="Q780" i="2" s="1"/>
  <c r="S780" i="2" s="1"/>
  <c r="P1569" i="2"/>
  <c r="Q1569" i="2" s="1"/>
  <c r="S1569" i="2" s="1"/>
  <c r="V1569" i="2" s="1"/>
  <c r="Q1656" i="2"/>
  <c r="S1656" i="2" s="1"/>
  <c r="V1656" i="2" s="1"/>
  <c r="P1546" i="2"/>
  <c r="Q1546" i="2" s="1"/>
  <c r="S1546" i="2" s="1"/>
  <c r="V1546" i="2" s="1"/>
  <c r="P1025" i="2"/>
  <c r="Q1025" i="2" s="1"/>
  <c r="S1025" i="2" s="1"/>
  <c r="P607" i="2"/>
  <c r="Q607" i="2" s="1"/>
  <c r="S607" i="2" s="1"/>
  <c r="P559" i="2"/>
  <c r="Q559" i="2" s="1"/>
  <c r="S559" i="2" s="1"/>
  <c r="P237" i="2"/>
  <c r="Q237" i="2" s="1"/>
  <c r="S237" i="2" s="1"/>
  <c r="P201" i="2"/>
  <c r="Q201" i="2" s="1"/>
  <c r="S201" i="2" s="1"/>
  <c r="P741" i="2"/>
  <c r="Q741" i="2" s="1"/>
  <c r="S741" i="2" s="1"/>
  <c r="P781" i="2"/>
  <c r="Q781" i="2" s="1"/>
  <c r="S781" i="2" s="1"/>
  <c r="P27" i="2"/>
  <c r="Q27" i="2" s="1"/>
  <c r="S27" i="2" s="1"/>
  <c r="P782" i="2"/>
  <c r="Q782" i="2" s="1"/>
  <c r="S782" i="2" s="1"/>
  <c r="P482" i="2"/>
  <c r="Q482" i="2" s="1"/>
  <c r="S482" i="2" s="1"/>
  <c r="P515" i="2"/>
  <c r="Q515" i="2" s="1"/>
  <c r="S515" i="2" s="1"/>
  <c r="Q1655" i="2"/>
  <c r="S1655" i="2" s="1"/>
  <c r="V1655" i="2" s="1"/>
  <c r="Q1649" i="2"/>
  <c r="S1649" i="2" s="1"/>
  <c r="V1649" i="2" s="1"/>
  <c r="P803" i="2"/>
  <c r="Q803" i="2" s="1"/>
  <c r="S803" i="2" s="1"/>
  <c r="P474" i="2"/>
  <c r="Q474" i="2" s="1"/>
  <c r="S474" i="2" s="1"/>
  <c r="P260" i="2"/>
  <c r="Q260" i="2" s="1"/>
  <c r="S260" i="2" s="1"/>
  <c r="Q1657" i="2"/>
  <c r="S1657" i="2" s="1"/>
  <c r="V1657" i="2" s="1"/>
  <c r="Q1651" i="2"/>
  <c r="S1651" i="2" s="1"/>
  <c r="V1651" i="2" s="1"/>
  <c r="Q1606" i="2"/>
  <c r="S1606" i="2" s="1"/>
  <c r="V1606" i="2" s="1"/>
  <c r="P17" i="2"/>
  <c r="Q17" i="2" s="1"/>
  <c r="S17" i="2" s="1"/>
  <c r="P13" i="2"/>
  <c r="Q13" i="2" s="1"/>
  <c r="S13" i="2" s="1"/>
  <c r="P257" i="2"/>
  <c r="Q257" i="2" s="1"/>
  <c r="S257" i="2" s="1"/>
  <c r="E20" i="2"/>
  <c r="E23" i="2"/>
  <c r="E17" i="2"/>
  <c r="P1568" i="2"/>
  <c r="Q1568" i="2" s="1"/>
  <c r="S1568" i="2" s="1"/>
  <c r="N1660" i="2"/>
  <c r="P558" i="2"/>
  <c r="Q558" i="2" s="1"/>
  <c r="S558" i="2" s="1"/>
  <c r="P608" i="2"/>
  <c r="Q608" i="2" s="1"/>
  <c r="S608" i="2" s="1"/>
  <c r="P804" i="2"/>
  <c r="Q804" i="2" s="1"/>
  <c r="S804" i="2" s="1"/>
  <c r="P258" i="2"/>
  <c r="Q258" i="2" s="1"/>
  <c r="S258" i="2" s="1"/>
  <c r="P259" i="2"/>
  <c r="Q259" i="2" s="1"/>
  <c r="S259" i="2" s="1"/>
  <c r="P1547" i="2"/>
  <c r="Q1547" i="2" s="1"/>
  <c r="S1547" i="2" s="1"/>
  <c r="V1547" i="2" s="1"/>
  <c r="P1545" i="2"/>
  <c r="Q1545" i="2" s="1"/>
  <c r="S1545" i="2" s="1"/>
  <c r="V1545" i="2" s="1"/>
  <c r="Q1654" i="2"/>
  <c r="S1654" i="2" s="1"/>
  <c r="V1654" i="2" s="1"/>
  <c r="Q1648" i="2"/>
  <c r="S1648" i="2" s="1"/>
  <c r="V1648" i="2" s="1"/>
  <c r="P1027" i="2"/>
  <c r="Q1027" i="2" s="1"/>
  <c r="S1027" i="2" s="1"/>
  <c r="P1548" i="2"/>
  <c r="Q1548" i="2" s="1"/>
  <c r="S1548" i="2" s="1"/>
  <c r="V1548" i="2" s="1"/>
  <c r="P477" i="2"/>
  <c r="Q477" i="2" s="1"/>
  <c r="S477" i="2" s="1"/>
  <c r="P476" i="2"/>
  <c r="Q476" i="2" s="1"/>
  <c r="S476" i="2" s="1"/>
  <c r="P480" i="2"/>
  <c r="Q480" i="2" s="1"/>
  <c r="S480" i="2" s="1"/>
  <c r="P479" i="2"/>
  <c r="Q479" i="2" s="1"/>
  <c r="S479" i="2" s="1"/>
  <c r="P202" i="2"/>
  <c r="Q202" i="2" s="1"/>
  <c r="S202" i="2" s="1"/>
  <c r="P609" i="2"/>
  <c r="Q609" i="2" s="1"/>
  <c r="S609" i="2" s="1"/>
  <c r="P801" i="2"/>
  <c r="Q801" i="2" s="1"/>
  <c r="S801" i="2" s="1"/>
  <c r="P799" i="2"/>
  <c r="Q799" i="2" s="1"/>
  <c r="S799" i="2" s="1"/>
  <c r="P238" i="2"/>
  <c r="Q238" i="2" s="1"/>
  <c r="S238" i="2" s="1"/>
  <c r="P200" i="2"/>
  <c r="Q200" i="2" s="1"/>
  <c r="S200" i="2" s="1"/>
  <c r="P478" i="2"/>
  <c r="Q478" i="2" s="1"/>
  <c r="S478" i="2" s="1"/>
  <c r="P236" i="2"/>
  <c r="Q236" i="2" s="1"/>
  <c r="S236" i="2" s="1"/>
  <c r="P475" i="2"/>
  <c r="Q475" i="2" s="1"/>
  <c r="S475" i="2" s="1"/>
  <c r="P481" i="2"/>
  <c r="Q481" i="2" s="1"/>
  <c r="S481" i="2" s="1"/>
  <c r="P800" i="2"/>
  <c r="Q800" i="2" s="1"/>
  <c r="S800" i="2" s="1"/>
  <c r="P483" i="2"/>
  <c r="Q483" i="2" s="1"/>
  <c r="S483" i="2" s="1"/>
  <c r="P802" i="2"/>
  <c r="Q802" i="2" s="1"/>
  <c r="S802" i="2" s="1"/>
  <c r="P1549" i="2"/>
  <c r="Q1549" i="2" s="1"/>
  <c r="S1549" i="2" s="1"/>
  <c r="V1549" i="2" s="1"/>
  <c r="S96" i="2"/>
  <c r="Q1570" i="2"/>
  <c r="S1570" i="2" s="1"/>
  <c r="V1570" i="2" s="1"/>
  <c r="Q680" i="2"/>
  <c r="S680" i="2" s="1"/>
  <c r="P293" i="2"/>
  <c r="Q293" i="2" s="1"/>
  <c r="P136" i="2"/>
  <c r="P1353" i="2"/>
  <c r="Q1650" i="2"/>
  <c r="S1650" i="2" s="1"/>
  <c r="V1650" i="2" s="1"/>
  <c r="S325" i="2"/>
  <c r="S40" i="2"/>
  <c r="N1" i="2"/>
  <c r="S208" i="2"/>
  <c r="S1297" i="2"/>
  <c r="W1297" i="2" s="1"/>
  <c r="P1566" i="2"/>
  <c r="Q465" i="2"/>
  <c r="R1" i="2"/>
  <c r="Q873" i="2"/>
  <c r="S873" i="2" s="1"/>
  <c r="L1660" i="2"/>
  <c r="S1489" i="2"/>
  <c r="S1278" i="2"/>
  <c r="V1278" i="2" s="1"/>
  <c r="Q95" i="2"/>
  <c r="Q390" i="2"/>
  <c r="S390" i="2" s="1"/>
  <c r="Q1279" i="2"/>
  <c r="S1279" i="2" s="1"/>
  <c r="V1279" i="2" s="1"/>
  <c r="P645" i="2"/>
  <c r="P198" i="2"/>
  <c r="P616" i="2"/>
  <c r="Q743" i="2"/>
  <c r="Q86" i="2"/>
  <c r="Q1053" i="2"/>
  <c r="Q894" i="2"/>
  <c r="P216" i="2"/>
  <c r="Q216" i="2" s="1"/>
  <c r="Q1199" i="2"/>
  <c r="S1199" i="2" s="1"/>
  <c r="V1199" i="2" s="1"/>
  <c r="Q1312" i="2"/>
  <c r="Q1139" i="2"/>
  <c r="Q1091" i="2"/>
  <c r="Q91" i="2"/>
  <c r="Q1138" i="2"/>
  <c r="Q547" i="2"/>
  <c r="Q544" i="2"/>
  <c r="P783" i="2"/>
  <c r="V1412" i="2"/>
  <c r="S92" i="2"/>
  <c r="R1277" i="2"/>
  <c r="S1488" i="2"/>
  <c r="P26" i="2" l="1"/>
  <c r="Q26" i="2" s="1"/>
  <c r="S26" i="2" s="1"/>
  <c r="D26" i="2"/>
  <c r="P11" i="2"/>
  <c r="Q11" i="2" s="1"/>
  <c r="S11" i="2" s="1"/>
  <c r="P9" i="2"/>
  <c r="Q9" i="2" s="1"/>
  <c r="S9" i="2" s="1"/>
  <c r="P8" i="2"/>
  <c r="Q8" i="2" s="1"/>
  <c r="S8" i="2" s="1"/>
  <c r="V1568" i="2"/>
  <c r="W1568" i="2"/>
  <c r="A6" i="1"/>
  <c r="B27" i="2" s="1"/>
  <c r="C27" i="2" s="1"/>
  <c r="D25" i="2"/>
  <c r="B25" i="2"/>
  <c r="C25" i="2" s="1"/>
  <c r="B26" i="2"/>
  <c r="C26" i="2" s="1"/>
  <c r="E26" i="2"/>
  <c r="D27" i="2"/>
  <c r="E25" i="2"/>
  <c r="P15" i="2"/>
  <c r="Q15" i="2" s="1"/>
  <c r="S15" i="2" s="1"/>
  <c r="P20" i="2"/>
  <c r="Q20" i="2" s="1"/>
  <c r="S20" i="2" s="1"/>
  <c r="P25" i="2"/>
  <c r="Q25" i="2" s="1"/>
  <c r="S25" i="2" s="1"/>
  <c r="P12" i="2"/>
  <c r="Q12" i="2" s="1"/>
  <c r="S12" i="2" s="1"/>
  <c r="P14" i="2"/>
  <c r="Q14" i="2" s="1"/>
  <c r="S14" i="2" s="1"/>
  <c r="P16" i="2"/>
  <c r="Q16" i="2" s="1"/>
  <c r="S16" i="2" s="1"/>
  <c r="P18" i="2"/>
  <c r="Q18" i="2" s="1"/>
  <c r="S18" i="2" s="1"/>
  <c r="P22" i="2"/>
  <c r="Q22" i="2" s="1"/>
  <c r="S22" i="2" s="1"/>
  <c r="P24" i="2"/>
  <c r="Q24" i="2" s="1"/>
  <c r="S24" i="2" s="1"/>
  <c r="P23" i="2"/>
  <c r="Q23" i="2" s="1"/>
  <c r="S23" i="2" s="1"/>
  <c r="P19" i="2"/>
  <c r="Q19" i="2" s="1"/>
  <c r="S19" i="2" s="1"/>
  <c r="P21" i="2"/>
  <c r="Q21" i="2" s="1"/>
  <c r="S21" i="2" s="1"/>
  <c r="V1297" i="2"/>
  <c r="S465" i="2"/>
  <c r="Q136" i="2"/>
  <c r="Q1353" i="2"/>
  <c r="S216" i="2"/>
  <c r="Q1566" i="2"/>
  <c r="S293" i="2"/>
  <c r="W1489" i="2"/>
  <c r="V1489" i="2"/>
  <c r="S95" i="2"/>
  <c r="Q616" i="2"/>
  <c r="Q198" i="2"/>
  <c r="Q645" i="2"/>
  <c r="S743" i="2"/>
  <c r="S86" i="2"/>
  <c r="S894" i="2"/>
  <c r="S1053" i="2"/>
  <c r="S544" i="2"/>
  <c r="S1138" i="2"/>
  <c r="S1091" i="2"/>
  <c r="S91" i="2"/>
  <c r="S1139" i="2"/>
  <c r="S547" i="2"/>
  <c r="S1312" i="2"/>
  <c r="V1312" i="2" s="1"/>
  <c r="Q783" i="2"/>
  <c r="S1277" i="2"/>
  <c r="V1277" i="2" s="1"/>
  <c r="V1488" i="2"/>
  <c r="W1488" i="2"/>
  <c r="A7" i="1" l="1"/>
  <c r="E27" i="2"/>
  <c r="S136" i="2"/>
  <c r="S1353" i="2"/>
  <c r="S1566" i="2"/>
  <c r="V1566" i="2" s="1"/>
  <c r="S198" i="2"/>
  <c r="S645" i="2"/>
  <c r="S616" i="2"/>
  <c r="S783" i="2"/>
  <c r="A8" i="1" l="1"/>
  <c r="D29" i="2" s="1"/>
  <c r="P28" i="2"/>
  <c r="Q28" i="2" s="1"/>
  <c r="E28" i="2"/>
  <c r="B28" i="2"/>
  <c r="C28" i="2" s="1"/>
  <c r="E29" i="2"/>
  <c r="D28" i="2"/>
  <c r="V1353" i="2"/>
  <c r="W1353" i="2"/>
  <c r="B29" i="2" l="1"/>
  <c r="C29" i="2" s="1"/>
  <c r="S28" i="2"/>
  <c r="A9" i="1"/>
  <c r="P29" i="2"/>
  <c r="Q29" i="2" l="1"/>
  <c r="A10" i="1"/>
  <c r="B36" i="2" s="1"/>
  <c r="C36" i="2" s="1"/>
  <c r="P30" i="2"/>
  <c r="B30" i="2"/>
  <c r="C30" i="2" s="1"/>
  <c r="D30" i="2"/>
  <c r="E33" i="2"/>
  <c r="E37" i="2"/>
  <c r="E36" i="2"/>
  <c r="E30" i="2"/>
  <c r="E38" i="2"/>
  <c r="E31" i="2"/>
  <c r="E34" i="2"/>
  <c r="B38" i="2" l="1"/>
  <c r="C38" i="2" s="1"/>
  <c r="B35" i="2"/>
  <c r="C35" i="2" s="1"/>
  <c r="B31" i="2"/>
  <c r="C31" i="2" s="1"/>
  <c r="B37" i="2"/>
  <c r="C37" i="2" s="1"/>
  <c r="D36" i="2"/>
  <c r="B33" i="2"/>
  <c r="C33" i="2" s="1"/>
  <c r="D35" i="2"/>
  <c r="D32" i="2"/>
  <c r="B34" i="2"/>
  <c r="C34" i="2" s="1"/>
  <c r="B32" i="2"/>
  <c r="C32" i="2" s="1"/>
  <c r="D33" i="2"/>
  <c r="A11" i="1"/>
  <c r="P32" i="2"/>
  <c r="Q32" i="2" s="1"/>
  <c r="S32" i="2" s="1"/>
  <c r="D38" i="2"/>
  <c r="D34" i="2"/>
  <c r="D37" i="2"/>
  <c r="E32" i="2"/>
  <c r="D31" i="2"/>
  <c r="E35" i="2"/>
  <c r="S29" i="2"/>
  <c r="Q30" i="2"/>
  <c r="A12" i="1" l="1"/>
  <c r="P39" i="2"/>
  <c r="Q39" i="2" s="1"/>
  <c r="S39" i="2" s="1"/>
  <c r="B39" i="2"/>
  <c r="C39" i="2" s="1"/>
  <c r="D39" i="2"/>
  <c r="S30" i="2"/>
  <c r="P33" i="2"/>
  <c r="Q33" i="2" s="1"/>
  <c r="S33" i="2" s="1"/>
  <c r="P35" i="2"/>
  <c r="Q35" i="2" s="1"/>
  <c r="S35" i="2" s="1"/>
  <c r="P38" i="2"/>
  <c r="Q38" i="2" s="1"/>
  <c r="S38" i="2" s="1"/>
  <c r="P37" i="2"/>
  <c r="Q37" i="2" s="1"/>
  <c r="S37" i="2" s="1"/>
  <c r="P36" i="2"/>
  <c r="Q36" i="2" s="1"/>
  <c r="S36" i="2" s="1"/>
  <c r="P31" i="2"/>
  <c r="P34" i="2"/>
  <c r="Q34" i="2" s="1"/>
  <c r="S34" i="2" s="1"/>
  <c r="E39" i="2"/>
  <c r="E40" i="2" l="1"/>
  <c r="B40" i="2"/>
  <c r="C40" i="2" s="1"/>
  <c r="D40" i="2"/>
  <c r="Q31" i="2"/>
  <c r="A13" i="1"/>
  <c r="E66" i="2"/>
  <c r="A14" i="1" l="1"/>
  <c r="D43" i="2" s="1"/>
  <c r="D41" i="2"/>
  <c r="D66" i="2"/>
  <c r="B41" i="2"/>
  <c r="C41" i="2" s="1"/>
  <c r="E41" i="2"/>
  <c r="B66" i="2"/>
  <c r="C66" i="2" s="1"/>
  <c r="S31" i="2"/>
  <c r="B43" i="2" l="1"/>
  <c r="C43" i="2" s="1"/>
  <c r="E42" i="2"/>
  <c r="D42" i="2"/>
  <c r="P66" i="2"/>
  <c r="Q66" i="2" s="1"/>
  <c r="S66" i="2" s="1"/>
  <c r="P41" i="2"/>
  <c r="A15" i="1"/>
  <c r="P42" i="2" l="1"/>
  <c r="P43" i="2"/>
  <c r="Q43" i="2" s="1"/>
  <c r="S43" i="2" s="1"/>
  <c r="A16" i="1"/>
  <c r="Q41" i="2"/>
  <c r="A17" i="1" l="1"/>
  <c r="P45" i="2"/>
  <c r="Q45" i="2" s="1"/>
  <c r="S45" i="2" s="1"/>
  <c r="S41" i="2"/>
  <c r="Q42" i="2"/>
  <c r="S42" i="2" l="1"/>
  <c r="A18" i="1"/>
  <c r="A19" i="1" l="1"/>
  <c r="A20" i="1" l="1"/>
  <c r="A21" i="1" l="1"/>
  <c r="P62" i="2"/>
  <c r="Q62" i="2" s="1"/>
  <c r="S62" i="2" s="1"/>
  <c r="A22" i="1" l="1"/>
  <c r="A23" i="1" l="1"/>
  <c r="P67" i="2"/>
  <c r="Q67" i="2" s="1"/>
  <c r="S67" i="2" s="1"/>
  <c r="A24" i="1" l="1"/>
  <c r="P68" i="2"/>
  <c r="Q68" i="2" s="1"/>
  <c r="S68" i="2" s="1"/>
  <c r="A25" i="1" l="1"/>
  <c r="A26" i="1" l="1"/>
  <c r="P75" i="2"/>
  <c r="Q75" i="2" s="1"/>
  <c r="S75" i="2" s="1"/>
  <c r="A27" i="1" l="1"/>
  <c r="P424" i="2"/>
  <c r="Q424" i="2" s="1"/>
  <c r="S424" i="2" s="1"/>
  <c r="A28" i="1" l="1"/>
  <c r="P84" i="2"/>
  <c r="Q84" i="2" s="1"/>
  <c r="S84" i="2" s="1"/>
  <c r="A29" i="1" l="1"/>
  <c r="P85" i="2"/>
  <c r="Q85" i="2" s="1"/>
  <c r="S85" i="2" s="1"/>
  <c r="A30" i="1" l="1"/>
  <c r="A31" i="1" l="1"/>
  <c r="A32" i="1" l="1"/>
  <c r="A33" i="1" l="1"/>
  <c r="A34" i="1" l="1"/>
  <c r="A35" i="1" l="1"/>
  <c r="A36" i="1" l="1"/>
  <c r="P133" i="2"/>
  <c r="A37" i="1" l="1"/>
  <c r="P93" i="2"/>
  <c r="Q93" i="2" s="1"/>
  <c r="S93" i="2" s="1"/>
  <c r="Q133" i="2"/>
  <c r="S133" i="2" l="1"/>
  <c r="A38" i="1"/>
  <c r="P94" i="2"/>
  <c r="A39" i="1" l="1"/>
  <c r="Q94" i="2"/>
  <c r="S94" i="2" l="1"/>
  <c r="A40" i="1"/>
  <c r="A41" i="1" l="1"/>
  <c r="P104" i="2"/>
  <c r="Q104" i="2" s="1"/>
  <c r="S104" i="2" s="1"/>
  <c r="A42" i="1" l="1"/>
  <c r="P116" i="2"/>
  <c r="Q116" i="2" s="1"/>
  <c r="S116" i="2" s="1"/>
  <c r="A43" i="1" l="1"/>
  <c r="P123" i="2"/>
  <c r="Q123" i="2" s="1"/>
  <c r="S123" i="2" s="1"/>
  <c r="A44" i="1" l="1"/>
  <c r="P132" i="2"/>
  <c r="Q132" i="2" s="1"/>
  <c r="S132" i="2" s="1"/>
  <c r="A45" i="1" l="1"/>
  <c r="P429" i="2"/>
  <c r="Q429" i="2" s="1"/>
  <c r="S429" i="2" s="1"/>
  <c r="A46" i="1" l="1"/>
  <c r="A47" i="1" l="1"/>
  <c r="P137" i="2"/>
  <c r="Q137" i="2" s="1"/>
  <c r="S137" i="2" s="1"/>
  <c r="A48" i="1" l="1"/>
  <c r="P141" i="2"/>
  <c r="Q141" i="2" s="1"/>
  <c r="S141" i="2" s="1"/>
  <c r="A49" i="1" l="1"/>
  <c r="P143" i="2"/>
  <c r="Q143" i="2" s="1"/>
  <c r="S143" i="2" s="1"/>
  <c r="A50" i="1" l="1"/>
  <c r="P144" i="2"/>
  <c r="Q144" i="2" s="1"/>
  <c r="S144" i="2" s="1"/>
  <c r="A51" i="1" l="1"/>
  <c r="P153" i="2"/>
  <c r="Q153" i="2" s="1"/>
  <c r="S153" i="2" s="1"/>
  <c r="A52" i="1" l="1"/>
  <c r="P155" i="2"/>
  <c r="Q155" i="2" s="1"/>
  <c r="S155" i="2" l="1"/>
  <c r="A53" i="1"/>
  <c r="P157" i="2"/>
  <c r="Q157" i="2" s="1"/>
  <c r="S157" i="2" s="1"/>
  <c r="A54" i="1" l="1"/>
  <c r="P159" i="2"/>
  <c r="Q159" i="2" s="1"/>
  <c r="S159" i="2" s="1"/>
  <c r="A55" i="1" l="1"/>
  <c r="A56" i="1" l="1"/>
  <c r="P164" i="2"/>
  <c r="Q164" i="2" s="1"/>
  <c r="S164" i="2" s="1"/>
  <c r="A57" i="1" l="1"/>
  <c r="P173" i="2"/>
  <c r="Q173" i="2" l="1"/>
  <c r="A58" i="1"/>
  <c r="P177" i="2"/>
  <c r="Q177" i="2" s="1"/>
  <c r="S177" i="2" s="1"/>
  <c r="A59" i="1" l="1"/>
  <c r="P182" i="2"/>
  <c r="Q182" i="2" s="1"/>
  <c r="S182" i="2" s="1"/>
  <c r="S173" i="2"/>
  <c r="P183" i="2" l="1"/>
  <c r="Q183" i="2" s="1"/>
  <c r="A60" i="1"/>
  <c r="E187" i="2" l="1"/>
  <c r="P190" i="2"/>
  <c r="Q190" i="2" s="1"/>
  <c r="S190" i="2" s="1"/>
  <c r="A61" i="1"/>
  <c r="S183" i="2"/>
  <c r="B198" i="2" l="1"/>
  <c r="C198" i="2" s="1"/>
  <c r="A62" i="1"/>
  <c r="A63" i="1" l="1"/>
  <c r="P199" i="2" l="1"/>
  <c r="A64" i="1"/>
  <c r="Q199" i="2" l="1"/>
  <c r="A65" i="1"/>
  <c r="B203" i="2" l="1"/>
  <c r="C203" i="2" s="1"/>
  <c r="A66" i="1"/>
  <c r="S199" i="2"/>
  <c r="A67" i="1" l="1"/>
  <c r="D215" i="2" l="1"/>
  <c r="A68" i="1"/>
  <c r="P215" i="2"/>
  <c r="Q215" i="2" s="1"/>
  <c r="S215" i="2" s="1"/>
  <c r="A69" i="1" l="1"/>
  <c r="A70" i="1" l="1"/>
  <c r="P219" i="2"/>
  <c r="Q219" i="2" s="1"/>
  <c r="S219" i="2" s="1"/>
  <c r="A71" i="1" l="1"/>
  <c r="A72" i="1" l="1"/>
  <c r="P441" i="2"/>
  <c r="Q441" i="2" s="1"/>
  <c r="S441" i="2" s="1"/>
  <c r="A73" i="1" l="1"/>
  <c r="A74" i="1" l="1"/>
  <c r="A75" i="1" l="1"/>
  <c r="P242" i="2" l="1"/>
  <c r="Q242" i="2" s="1"/>
  <c r="S242" i="2" s="1"/>
  <c r="A76" i="1"/>
  <c r="A77" i="1" l="1"/>
  <c r="P252" i="2"/>
  <c r="Q252" i="2" s="1"/>
  <c r="S252" i="2" s="1"/>
  <c r="A78" i="1" l="1"/>
  <c r="A79" i="1" l="1"/>
  <c r="A80" i="1" l="1"/>
  <c r="A81" i="1" l="1"/>
  <c r="A82" i="1" l="1"/>
  <c r="A83" i="1" l="1"/>
  <c r="P280" i="2"/>
  <c r="Q280" i="2" s="1"/>
  <c r="S280" i="2" s="1"/>
  <c r="A84" i="1" l="1"/>
  <c r="A85" i="1" l="1"/>
  <c r="P287" i="2"/>
  <c r="Q287" i="2" s="1"/>
  <c r="S287" i="2" s="1"/>
  <c r="A86" i="1" l="1"/>
  <c r="P292" i="2"/>
  <c r="Q292" i="2" s="1"/>
  <c r="S292" i="2" s="1"/>
  <c r="A87" i="1" l="1"/>
  <c r="A88" i="1" l="1"/>
  <c r="P294" i="2"/>
  <c r="Q294" i="2" s="1"/>
  <c r="S294" i="2" s="1"/>
  <c r="A89" i="1" l="1"/>
  <c r="P297" i="2"/>
  <c r="Q297" i="2" s="1"/>
  <c r="S297" i="2" s="1"/>
  <c r="A90" i="1" l="1"/>
  <c r="P307" i="2" l="1"/>
  <c r="Q307" i="2" s="1"/>
  <c r="S307" i="2" s="1"/>
  <c r="A91" i="1"/>
  <c r="A92" i="1" l="1"/>
  <c r="A93" i="1" l="1"/>
  <c r="A94" i="1" l="1"/>
  <c r="P324" i="2" l="1"/>
  <c r="Q324" i="2" s="1"/>
  <c r="S324" i="2" s="1"/>
  <c r="A95" i="1"/>
  <c r="A96" i="1" l="1"/>
  <c r="A97" i="1" l="1"/>
  <c r="A98" i="1" l="1"/>
  <c r="A99" i="1" l="1"/>
  <c r="P341" i="2"/>
  <c r="Q341" i="2" s="1"/>
  <c r="S341" i="2" s="1"/>
  <c r="A100" i="1" l="1"/>
  <c r="P356" i="2"/>
  <c r="Q356" i="2" s="1"/>
  <c r="S356" i="2" s="1"/>
  <c r="P359" i="2" l="1"/>
  <c r="Q359" i="2" s="1"/>
  <c r="S359" i="2" s="1"/>
  <c r="A101" i="1"/>
  <c r="A102" i="1" l="1"/>
  <c r="P431" i="2"/>
  <c r="Q431" i="2" s="1"/>
  <c r="S431" i="2" s="1"/>
  <c r="A103" i="1" l="1"/>
  <c r="A104" i="1" l="1"/>
  <c r="A105" i="1" l="1"/>
  <c r="A106" i="1" l="1"/>
  <c r="A107" i="1" l="1"/>
  <c r="A108" i="1" l="1"/>
  <c r="A109" i="1" l="1"/>
  <c r="A110" i="1" l="1"/>
  <c r="A111" i="1" l="1"/>
  <c r="P394" i="2"/>
  <c r="Q394" i="2" s="1"/>
  <c r="S394" i="2" s="1"/>
  <c r="P405" i="2" l="1"/>
  <c r="Q405" i="2" s="1"/>
  <c r="S405" i="2" s="1"/>
  <c r="A112" i="1"/>
  <c r="A113" i="1" l="1"/>
  <c r="A114" i="1" l="1"/>
  <c r="A115" i="1" l="1"/>
  <c r="A116" i="1" l="1"/>
  <c r="P432" i="2"/>
  <c r="Q432" i="2" s="1"/>
  <c r="S432" i="2" s="1"/>
  <c r="A117" i="1" l="1"/>
  <c r="A118" i="1" l="1"/>
  <c r="P421" i="2"/>
  <c r="Q421" i="2" s="1"/>
  <c r="S421" i="2" s="1"/>
  <c r="A119" i="1" l="1"/>
  <c r="P447" i="2"/>
  <c r="Q447" i="2" s="1"/>
  <c r="S447" i="2" s="1"/>
  <c r="A120" i="1" l="1"/>
  <c r="A121" i="1" l="1"/>
  <c r="A122" i="1" l="1"/>
  <c r="P468" i="2"/>
  <c r="Q468" i="2" s="1"/>
  <c r="S468" i="2" s="1"/>
  <c r="A123" i="1" l="1"/>
  <c r="A124" i="1" l="1"/>
  <c r="P462" i="2"/>
  <c r="Q462" i="2" s="1"/>
  <c r="S462" i="2" s="1"/>
  <c r="A125" i="1" l="1"/>
  <c r="A126" i="1" l="1"/>
  <c r="A127" i="1" l="1"/>
  <c r="P494" i="2" l="1"/>
  <c r="Q494" i="2" s="1"/>
  <c r="S494" i="2" s="1"/>
  <c r="A128" i="1"/>
  <c r="A129" i="1" l="1"/>
  <c r="P500" i="2" l="1"/>
  <c r="Q500" i="2" s="1"/>
  <c r="S500" i="2" s="1"/>
  <c r="A130" i="1"/>
  <c r="A131" i="1" l="1"/>
  <c r="P507" i="2" l="1"/>
  <c r="Q507" i="2" s="1"/>
  <c r="S507" i="2" s="1"/>
  <c r="A132" i="1"/>
  <c r="A133" i="1" l="1"/>
  <c r="P508" i="2"/>
  <c r="Q508" i="2" s="1"/>
  <c r="S508" i="2" s="1"/>
  <c r="A134" i="1" l="1"/>
  <c r="P510" i="2" l="1"/>
  <c r="Q510" i="2" s="1"/>
  <c r="S510" i="2" s="1"/>
  <c r="A135" i="1"/>
  <c r="A136" i="1" l="1"/>
  <c r="A137" i="1" l="1"/>
  <c r="A138" i="1" l="1"/>
  <c r="P516" i="2"/>
  <c r="Q516" i="2" s="1"/>
  <c r="S516" i="2" s="1"/>
  <c r="A139" i="1" l="1"/>
  <c r="A140" i="1" l="1"/>
  <c r="A141" i="1" l="1"/>
  <c r="A142" i="1" l="1"/>
  <c r="A143" i="1" l="1"/>
  <c r="P527" i="2"/>
  <c r="Q527" i="2" s="1"/>
  <c r="S527" i="2" s="1"/>
  <c r="A144" i="1" l="1"/>
  <c r="P532" i="2" l="1"/>
  <c r="Q532" i="2" s="1"/>
  <c r="S532" i="2" s="1"/>
  <c r="A145" i="1"/>
  <c r="A146" i="1" l="1"/>
  <c r="P534" i="2" l="1"/>
  <c r="Q534" i="2" s="1"/>
  <c r="S534" i="2" s="1"/>
  <c r="A147" i="1"/>
  <c r="A148" i="1" l="1"/>
  <c r="A149" i="1" l="1"/>
  <c r="A150" i="1" l="1"/>
  <c r="A151" i="1" l="1"/>
  <c r="A152" i="1" l="1"/>
  <c r="A153" i="1" l="1"/>
  <c r="P550" i="2" l="1"/>
  <c r="Q550" i="2" s="1"/>
  <c r="S550" i="2" s="1"/>
  <c r="A154" i="1"/>
  <c r="A155" i="1" l="1"/>
  <c r="A156" i="1" l="1"/>
  <c r="A157" i="1" l="1"/>
  <c r="P567" i="2" l="1"/>
  <c r="Q567" i="2" s="1"/>
  <c r="S567" i="2" s="1"/>
  <c r="A158" i="1"/>
  <c r="A159" i="1" l="1"/>
  <c r="P569" i="2"/>
  <c r="Q569" i="2" s="1"/>
  <c r="S569" i="2" s="1"/>
  <c r="A160" i="1" l="1"/>
  <c r="P582" i="2" l="1"/>
  <c r="Q582" i="2" s="1"/>
  <c r="S582" i="2" s="1"/>
  <c r="A161" i="1"/>
  <c r="P606" i="2" l="1"/>
  <c r="Q606" i="2" s="1"/>
  <c r="S606" i="2" s="1"/>
  <c r="A162" i="1"/>
  <c r="P594" i="2" l="1"/>
  <c r="Q594" i="2" s="1"/>
  <c r="S594" i="2" s="1"/>
  <c r="A163" i="1"/>
  <c r="A164" i="1" l="1"/>
  <c r="P602" i="2" l="1"/>
  <c r="Q602" i="2" s="1"/>
  <c r="S602" i="2" s="1"/>
  <c r="A165" i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P630" i="2" l="1"/>
  <c r="Q630" i="2" s="1"/>
  <c r="S630" i="2" s="1"/>
  <c r="A176" i="1"/>
  <c r="A177" i="1" l="1"/>
  <c r="A178" i="1" l="1"/>
  <c r="P640" i="2" l="1"/>
  <c r="Q640" i="2" s="1"/>
  <c r="S640" i="2" s="1"/>
  <c r="A179" i="1"/>
  <c r="A180" i="1" l="1"/>
  <c r="A181" i="1" l="1"/>
  <c r="A182" i="1" l="1"/>
  <c r="A183" i="1" l="1"/>
  <c r="P647" i="2"/>
  <c r="Q647" i="2" s="1"/>
  <c r="S647" i="2" s="1"/>
  <c r="A184" i="1" l="1"/>
  <c r="P655" i="2" l="1"/>
  <c r="Q655" i="2" s="1"/>
  <c r="S655" i="2" s="1"/>
  <c r="A185" i="1"/>
  <c r="A186" i="1" l="1"/>
  <c r="P663" i="2" l="1"/>
  <c r="Q663" i="2" s="1"/>
  <c r="S663" i="2" s="1"/>
  <c r="V663" i="2" s="1"/>
  <c r="A187" i="1"/>
  <c r="A188" i="1" l="1"/>
  <c r="A189" i="1" l="1"/>
  <c r="A190" i="1" l="1"/>
  <c r="A191" i="1" l="1"/>
  <c r="P684" i="2"/>
  <c r="Q684" i="2" s="1"/>
  <c r="S684" i="2" s="1"/>
  <c r="A192" i="1" l="1"/>
  <c r="A193" i="1" l="1"/>
  <c r="P759" i="2"/>
  <c r="Q759" i="2" s="1"/>
  <c r="S759" i="2" s="1"/>
  <c r="A194" i="1" l="1"/>
  <c r="A195" i="1" l="1"/>
  <c r="P699" i="2"/>
  <c r="Q699" i="2" s="1"/>
  <c r="S699" i="2" s="1"/>
  <c r="A196" i="1" l="1"/>
  <c r="A197" i="1" l="1"/>
  <c r="P707" i="2" l="1"/>
  <c r="Q707" i="2" s="1"/>
  <c r="S707" i="2" s="1"/>
  <c r="A198" i="1"/>
  <c r="A199" i="1" l="1"/>
  <c r="P711" i="2" l="1"/>
  <c r="Q711" i="2" s="1"/>
  <c r="S711" i="2" s="1"/>
  <c r="A200" i="1"/>
  <c r="A201" i="1" l="1"/>
  <c r="P716" i="2"/>
  <c r="Q716" i="2" s="1"/>
  <c r="S716" i="2" s="1"/>
  <c r="A202" i="1" l="1"/>
  <c r="P717" i="2"/>
  <c r="Q717" i="2" s="1"/>
  <c r="S717" i="2" s="1"/>
  <c r="A203" i="1" l="1"/>
  <c r="P718" i="2"/>
  <c r="Q718" i="2" s="1"/>
  <c r="S718" i="2" s="1"/>
  <c r="A204" i="1" l="1"/>
  <c r="P719" i="2"/>
  <c r="Q719" i="2" s="1"/>
  <c r="S719" i="2" s="1"/>
  <c r="A205" i="1" l="1"/>
  <c r="A206" i="1" l="1"/>
  <c r="P732" i="2" l="1"/>
  <c r="Q732" i="2" s="1"/>
  <c r="S732" i="2" s="1"/>
  <c r="A207" i="1"/>
  <c r="A208" i="1" l="1"/>
  <c r="P733" i="2"/>
  <c r="Q733" i="2" s="1"/>
  <c r="S733" i="2" s="1"/>
  <c r="A209" i="1" l="1"/>
  <c r="A210" i="1" l="1"/>
  <c r="A211" i="1" l="1"/>
  <c r="P739" i="2"/>
  <c r="Q739" i="2" s="1"/>
  <c r="S739" i="2" s="1"/>
  <c r="A212" i="1" l="1"/>
  <c r="A213" i="1" l="1"/>
  <c r="A214" i="1" l="1"/>
  <c r="A215" i="1" l="1"/>
  <c r="P744" i="2"/>
  <c r="Q744" i="2" s="1"/>
  <c r="S744" i="2" s="1"/>
  <c r="A216" i="1" l="1"/>
  <c r="P745" i="2"/>
  <c r="Q745" i="2" s="1"/>
  <c r="S745" i="2" s="1"/>
  <c r="A217" i="1" l="1"/>
  <c r="P747" i="2"/>
  <c r="Q747" i="2" s="1"/>
  <c r="S747" i="2" s="1"/>
  <c r="A218" i="1" l="1"/>
  <c r="P765" i="2" l="1"/>
  <c r="Q765" i="2" s="1"/>
  <c r="S765" i="2" s="1"/>
  <c r="A219" i="1"/>
  <c r="A220" i="1" l="1"/>
  <c r="P924" i="2"/>
  <c r="Q924" i="2" s="1"/>
  <c r="S924" i="2" s="1"/>
  <c r="A221" i="1" l="1"/>
  <c r="A222" i="1" l="1"/>
  <c r="P778" i="2" l="1"/>
  <c r="Q778" i="2" s="1"/>
  <c r="S778" i="2" s="1"/>
  <c r="A223" i="1"/>
  <c r="A224" i="1" l="1"/>
  <c r="A225" i="1" l="1"/>
  <c r="A226" i="1" l="1"/>
  <c r="A227" i="1" l="1"/>
  <c r="A228" i="1" l="1"/>
  <c r="P791" i="2"/>
  <c r="Q791" i="2" s="1"/>
  <c r="S791" i="2" s="1"/>
  <c r="P785" i="2" l="1"/>
  <c r="Q785" i="2" s="1"/>
  <c r="S785" i="2" s="1"/>
  <c r="A229" i="1"/>
  <c r="P809" i="2" l="1"/>
  <c r="Q809" i="2" s="1"/>
  <c r="S809" i="2" s="1"/>
  <c r="A230" i="1"/>
  <c r="A231" i="1" l="1"/>
  <c r="A232" i="1" l="1"/>
  <c r="P814" i="2"/>
  <c r="Q814" i="2" s="1"/>
  <c r="S814" i="2" s="1"/>
  <c r="A233" i="1" l="1"/>
  <c r="P915" i="2" l="1"/>
  <c r="Q915" i="2" s="1"/>
  <c r="S915" i="2" s="1"/>
  <c r="A234" i="1"/>
  <c r="P819" i="2" l="1"/>
  <c r="Q819" i="2" s="1"/>
  <c r="S819" i="2" s="1"/>
  <c r="A235" i="1"/>
  <c r="A236" i="1" l="1"/>
  <c r="P827" i="2" l="1"/>
  <c r="Q827" i="2" s="1"/>
  <c r="S827" i="2" s="1"/>
  <c r="A237" i="1"/>
  <c r="A238" i="1" l="1"/>
  <c r="P840" i="2" l="1"/>
  <c r="Q840" i="2" s="1"/>
  <c r="S840" i="2" s="1"/>
  <c r="A239" i="1"/>
  <c r="A240" i="1" l="1"/>
  <c r="P842" i="2" l="1"/>
  <c r="Q842" i="2" s="1"/>
  <c r="S842" i="2" s="1"/>
  <c r="A241" i="1"/>
  <c r="P843" i="2" l="1"/>
  <c r="Q843" i="2" s="1"/>
  <c r="S843" i="2" s="1"/>
  <c r="A242" i="1"/>
  <c r="P851" i="2" l="1"/>
  <c r="Q851" i="2" s="1"/>
  <c r="S851" i="2" s="1"/>
  <c r="A243" i="1"/>
  <c r="A244" i="1" l="1"/>
  <c r="A245" i="1" l="1"/>
  <c r="A246" i="1" l="1"/>
  <c r="P860" i="2"/>
  <c r="Q860" i="2" s="1"/>
  <c r="S860" i="2" s="1"/>
  <c r="A247" i="1" l="1"/>
  <c r="P916" i="2" l="1"/>
  <c r="Q916" i="2" s="1"/>
  <c r="S916" i="2" s="1"/>
  <c r="A248" i="1"/>
  <c r="A249" i="1" l="1"/>
  <c r="P872" i="2"/>
  <c r="Q872" i="2" s="1"/>
  <c r="S872" i="2" s="1"/>
  <c r="A250" i="1" l="1"/>
  <c r="P874" i="2" l="1"/>
  <c r="Q874" i="2" s="1"/>
  <c r="S874" i="2" s="1"/>
  <c r="A251" i="1"/>
  <c r="A252" i="1" l="1"/>
  <c r="P881" i="2" l="1"/>
  <c r="Q881" i="2" s="1"/>
  <c r="S881" i="2" s="1"/>
  <c r="A253" i="1"/>
  <c r="P882" i="2" l="1"/>
  <c r="Q882" i="2" s="1"/>
  <c r="S882" i="2" s="1"/>
  <c r="A254" i="1"/>
  <c r="A255" i="1" l="1"/>
  <c r="P885" i="2"/>
  <c r="Q885" i="2" s="1"/>
  <c r="S885" i="2" s="1"/>
  <c r="A256" i="1" l="1"/>
  <c r="A257" i="1" l="1"/>
  <c r="A258" i="1" l="1"/>
  <c r="P905" i="2"/>
  <c r="Q905" i="2" s="1"/>
  <c r="S905" i="2" s="1"/>
  <c r="A259" i="1" l="1"/>
  <c r="P908" i="2"/>
  <c r="Q908" i="2" s="1"/>
  <c r="S908" i="2" s="1"/>
  <c r="A260" i="1" l="1"/>
  <c r="P917" i="2" l="1"/>
  <c r="Q917" i="2" s="1"/>
  <c r="S917" i="2" s="1"/>
  <c r="A261" i="1"/>
  <c r="P918" i="2" l="1"/>
  <c r="Q918" i="2" s="1"/>
  <c r="S918" i="2" s="1"/>
  <c r="A262" i="1"/>
  <c r="P920" i="2" l="1"/>
  <c r="Q920" i="2" s="1"/>
  <c r="S920" i="2" s="1"/>
  <c r="A263" i="1"/>
  <c r="A264" i="1" l="1"/>
  <c r="P1604" i="2"/>
  <c r="Q1604" i="2" s="1"/>
  <c r="S1604" i="2" s="1"/>
  <c r="V1604" i="2" s="1"/>
  <c r="A265" i="1" l="1"/>
  <c r="A266" i="1" l="1"/>
  <c r="P931" i="2"/>
  <c r="Q931" i="2" s="1"/>
  <c r="S931" i="2" s="1"/>
  <c r="A267" i="1" l="1"/>
  <c r="A268" i="1" l="1"/>
  <c r="A269" i="1" l="1"/>
  <c r="A270" i="1" l="1"/>
  <c r="P934" i="2"/>
  <c r="Q934" i="2" s="1"/>
  <c r="S934" i="2" s="1"/>
  <c r="A271" i="1" l="1"/>
  <c r="P935" i="2"/>
  <c r="Q935" i="2" s="1"/>
  <c r="S935" i="2" s="1"/>
  <c r="A272" i="1" l="1"/>
  <c r="P943" i="2" l="1"/>
  <c r="Q943" i="2" s="1"/>
  <c r="S943" i="2" s="1"/>
  <c r="A273" i="1"/>
  <c r="A274" i="1" l="1"/>
  <c r="P989" i="2" l="1"/>
  <c r="Q989" i="2" s="1"/>
  <c r="S989" i="2" s="1"/>
  <c r="A275" i="1"/>
  <c r="A276" i="1" l="1"/>
  <c r="P937" i="2"/>
  <c r="Q937" i="2" s="1"/>
  <c r="S937" i="2" s="1"/>
  <c r="P998" i="2" l="1"/>
  <c r="Q998" i="2" s="1"/>
  <c r="S998" i="2" s="1"/>
  <c r="A277" i="1"/>
  <c r="A278" i="1" l="1"/>
  <c r="P999" i="2"/>
  <c r="Q999" i="2" s="1"/>
  <c r="S999" i="2" s="1"/>
  <c r="A279" i="1" l="1"/>
  <c r="P1000" i="2"/>
  <c r="Q1000" i="2" s="1"/>
  <c r="S1000" i="2" s="1"/>
  <c r="A280" i="1" l="1"/>
  <c r="P1007" i="2"/>
  <c r="Q1007" i="2" s="1"/>
  <c r="S1007" i="2" s="1"/>
  <c r="P1020" i="2" l="1"/>
  <c r="Q1020" i="2" s="1"/>
  <c r="S1020" i="2" s="1"/>
  <c r="A281" i="1"/>
  <c r="A282" i="1" l="1"/>
  <c r="P1024" i="2"/>
  <c r="Q1024" i="2" s="1"/>
  <c r="S1024" i="2" s="1"/>
  <c r="A283" i="1" l="1"/>
  <c r="P1026" i="2" l="1"/>
  <c r="Q1026" i="2" s="1"/>
  <c r="S1026" i="2" s="1"/>
  <c r="A284" i="1"/>
  <c r="A285" i="1" l="1"/>
  <c r="P1033" i="2"/>
  <c r="Q1033" i="2" s="1"/>
  <c r="S1033" i="2" s="1"/>
  <c r="A286" i="1" l="1"/>
  <c r="P1037" i="2" l="1"/>
  <c r="Q1037" i="2" s="1"/>
  <c r="S1037" i="2" s="1"/>
  <c r="A287" i="1"/>
  <c r="A288" i="1" l="1"/>
  <c r="A289" i="1" l="1"/>
  <c r="P1040" i="2" l="1"/>
  <c r="Q1040" i="2" s="1"/>
  <c r="S1040" i="2" s="1"/>
  <c r="A290" i="1"/>
  <c r="A291" i="1" l="1"/>
  <c r="P1041" i="2"/>
  <c r="Q1041" i="2" s="1"/>
  <c r="S1041" i="2" s="1"/>
  <c r="A292" i="1" l="1"/>
  <c r="P1046" i="2" l="1"/>
  <c r="Q1046" i="2" s="1"/>
  <c r="S1046" i="2" s="1"/>
  <c r="A293" i="1"/>
  <c r="A294" i="1" l="1"/>
  <c r="A295" i="1" l="1"/>
  <c r="A296" i="1" l="1"/>
  <c r="A297" i="1" l="1"/>
  <c r="A298" i="1" l="1"/>
  <c r="P1083" i="2"/>
  <c r="Q1083" i="2" s="1"/>
  <c r="S1083" i="2" s="1"/>
  <c r="A299" i="1" l="1"/>
  <c r="A300" i="1" l="1"/>
  <c r="P1088" i="2" l="1"/>
  <c r="Q1088" i="2" s="1"/>
  <c r="S1088" i="2" s="1"/>
  <c r="A301" i="1"/>
  <c r="A302" i="1" l="1"/>
  <c r="A303" i="1" l="1"/>
  <c r="P1097" i="2" l="1"/>
  <c r="Q1097" i="2" s="1"/>
  <c r="S1097" i="2" s="1"/>
  <c r="A304" i="1"/>
  <c r="A305" i="1" l="1"/>
  <c r="P1115" i="2"/>
  <c r="Q1115" i="2" s="1"/>
  <c r="S1115" i="2" s="1"/>
  <c r="P1102" i="2" l="1"/>
  <c r="Q1102" i="2" s="1"/>
  <c r="S1102" i="2" s="1"/>
  <c r="A306" i="1"/>
  <c r="P1116" i="2" l="1"/>
  <c r="Q1116" i="2" s="1"/>
  <c r="S1116" i="2" s="1"/>
  <c r="A307" i="1"/>
  <c r="A308" i="1" l="1"/>
  <c r="P1121" i="2"/>
  <c r="Q1121" i="2" s="1"/>
  <c r="S1121" i="2" s="1"/>
  <c r="A309" i="1" l="1"/>
  <c r="A310" i="1" l="1"/>
  <c r="A311" i="1" l="1"/>
  <c r="P1141" i="2" l="1"/>
  <c r="Q1141" i="2" s="1"/>
  <c r="S1141" i="2" s="1"/>
  <c r="A312" i="1"/>
  <c r="A313" i="1" l="1"/>
  <c r="A314" i="1" l="1"/>
  <c r="A315" i="1" l="1"/>
  <c r="P1155" i="2"/>
  <c r="Q1155" i="2" s="1"/>
  <c r="S1155" i="2" s="1"/>
  <c r="A316" i="1" l="1"/>
  <c r="A317" i="1" l="1"/>
  <c r="A318" i="1" l="1"/>
  <c r="A319" i="1" l="1"/>
  <c r="A320" i="1" l="1"/>
  <c r="P1176" i="2"/>
  <c r="Q1176" i="2" s="1"/>
  <c r="S1176" i="2" s="1"/>
  <c r="A321" i="1" l="1"/>
  <c r="A322" i="1" l="1"/>
  <c r="P1186" i="2"/>
  <c r="Q1186" i="2" s="1"/>
  <c r="S1186" i="2" s="1"/>
  <c r="A323" i="1" l="1"/>
  <c r="P1189" i="2" l="1"/>
  <c r="Q1189" i="2" s="1"/>
  <c r="S1189" i="2" s="1"/>
  <c r="A324" i="1"/>
  <c r="P1192" i="2" l="1"/>
  <c r="Q1192" i="2" s="1"/>
  <c r="S1192" i="2" s="1"/>
  <c r="A325" i="1"/>
  <c r="A326" i="1" l="1"/>
  <c r="A327" i="1" l="1"/>
  <c r="A328" i="1" l="1"/>
  <c r="P1216" i="2" l="1"/>
  <c r="Q1216" i="2" s="1"/>
  <c r="S1216" i="2" s="1"/>
  <c r="A329" i="1"/>
  <c r="A330" i="1" l="1"/>
  <c r="P1217" i="2"/>
  <c r="Q1217" i="2" s="1"/>
  <c r="S1217" i="2" s="1"/>
  <c r="P1223" i="2" l="1"/>
  <c r="Q1223" i="2" s="1"/>
  <c r="S1223" i="2" s="1"/>
  <c r="A331" i="1"/>
  <c r="A332" i="1" l="1"/>
  <c r="P1224" i="2"/>
  <c r="Q1224" i="2" s="1"/>
  <c r="S1224" i="2" s="1"/>
  <c r="A333" i="1" l="1"/>
  <c r="P1227" i="2"/>
  <c r="Q1227" i="2" s="1"/>
  <c r="S1227" i="2" s="1"/>
  <c r="V1227" i="2" s="1"/>
  <c r="P1237" i="2" l="1"/>
  <c r="Q1237" i="2" s="1"/>
  <c r="S1237" i="2" s="1"/>
  <c r="V1237" i="2" s="1"/>
  <c r="A334" i="1"/>
  <c r="A335" i="1" l="1"/>
  <c r="A336" i="1" l="1"/>
  <c r="P1246" i="2"/>
  <c r="Q1246" i="2" s="1"/>
  <c r="S1246" i="2" s="1"/>
  <c r="V1246" i="2" s="1"/>
  <c r="A337" i="1" l="1"/>
  <c r="P1265" i="2" l="1"/>
  <c r="Q1265" i="2" s="1"/>
  <c r="S1265" i="2" s="1"/>
  <c r="A338" i="1"/>
  <c r="A339" i="1" l="1"/>
  <c r="P1280" i="2"/>
  <c r="Q1280" i="2" s="1"/>
  <c r="S1280" i="2" s="1"/>
  <c r="V1280" i="2" s="1"/>
  <c r="V1265" i="2"/>
  <c r="W1265" i="2"/>
  <c r="A340" i="1" l="1"/>
  <c r="A341" i="1" l="1"/>
  <c r="P1275" i="2"/>
  <c r="Q1275" i="2" s="1"/>
  <c r="S1275" i="2" s="1"/>
  <c r="W1275" i="2" l="1"/>
  <c r="V1275" i="2"/>
  <c r="P1272" i="2"/>
  <c r="Q1272" i="2" s="1"/>
  <c r="S1272" i="2" s="1"/>
  <c r="V1272" i="2" s="1"/>
  <c r="A342" i="1"/>
  <c r="A343" i="1" l="1"/>
  <c r="A344" i="1" l="1"/>
  <c r="A345" i="1" l="1"/>
  <c r="A346" i="1" l="1"/>
  <c r="P1288" i="2"/>
  <c r="Q1288" i="2" s="1"/>
  <c r="S1288" i="2" s="1"/>
  <c r="W1288" i="2" l="1"/>
  <c r="V1288" i="2"/>
  <c r="P1292" i="2"/>
  <c r="Q1292" i="2" s="1"/>
  <c r="S1292" i="2" s="1"/>
  <c r="V1292" i="2" s="1"/>
  <c r="A347" i="1"/>
  <c r="A348" i="1" l="1"/>
  <c r="A349" i="1" l="1"/>
  <c r="P1299" i="2" l="1"/>
  <c r="Q1299" i="2" s="1"/>
  <c r="S1299" i="2" s="1"/>
  <c r="V1299" i="2" s="1"/>
  <c r="A350" i="1"/>
  <c r="P1302" i="2" l="1"/>
  <c r="Q1302" i="2" s="1"/>
  <c r="S1302" i="2" s="1"/>
  <c r="A351" i="1"/>
  <c r="A352" i="1" l="1"/>
  <c r="P1307" i="2"/>
  <c r="Q1307" i="2" s="1"/>
  <c r="S1307" i="2" s="1"/>
  <c r="V1302" i="2"/>
  <c r="W1302" i="2"/>
  <c r="W1307" i="2" l="1"/>
  <c r="V1307" i="2"/>
  <c r="A353" i="1"/>
  <c r="P1309" i="2"/>
  <c r="Q1309" i="2" s="1"/>
  <c r="S1309" i="2" s="1"/>
  <c r="W1309" i="2" l="1"/>
  <c r="V1309" i="2"/>
  <c r="A354" i="1"/>
  <c r="P1313" i="2" l="1"/>
  <c r="Q1313" i="2" s="1"/>
  <c r="S1313" i="2" s="1"/>
  <c r="V1313" i="2" s="1"/>
  <c r="A355" i="1"/>
  <c r="P1314" i="2" l="1"/>
  <c r="Q1314" i="2" s="1"/>
  <c r="S1314" i="2" s="1"/>
  <c r="V1314" i="2" s="1"/>
  <c r="A356" i="1"/>
  <c r="P1317" i="2" l="1"/>
  <c r="Q1317" i="2" s="1"/>
  <c r="S1317" i="2" s="1"/>
  <c r="A357" i="1"/>
  <c r="A358" i="1" l="1"/>
  <c r="W1317" i="2"/>
  <c r="V1317" i="2"/>
  <c r="P1331" i="2" l="1"/>
  <c r="Q1331" i="2" s="1"/>
  <c r="S1331" i="2" s="1"/>
  <c r="A359" i="1"/>
  <c r="P1332" i="2" l="1"/>
  <c r="Q1332" i="2" s="1"/>
  <c r="S1332" i="2" s="1"/>
  <c r="A360" i="1"/>
  <c r="W1331" i="2"/>
  <c r="V1331" i="2"/>
  <c r="P1339" i="2" l="1"/>
  <c r="Q1339" i="2" s="1"/>
  <c r="S1339" i="2" s="1"/>
  <c r="A361" i="1"/>
  <c r="V1332" i="2"/>
  <c r="W1332" i="2"/>
  <c r="A362" i="1" l="1"/>
  <c r="P1347" i="2"/>
  <c r="Q1347" i="2" s="1"/>
  <c r="S1347" i="2" s="1"/>
  <c r="W1339" i="2"/>
  <c r="V1339" i="2"/>
  <c r="V1347" i="2" l="1"/>
  <c r="W1347" i="2"/>
  <c r="A363" i="1"/>
  <c r="P1352" i="2"/>
  <c r="Q1352" i="2" s="1"/>
  <c r="S1352" i="2" s="1"/>
  <c r="W1352" i="2" l="1"/>
  <c r="V1352" i="2"/>
  <c r="A364" i="1"/>
  <c r="A365" i="1" l="1"/>
  <c r="P1354" i="2"/>
  <c r="R1354" i="2" l="1"/>
  <c r="Q1354" i="2"/>
  <c r="P1355" i="2"/>
  <c r="Q1355" i="2" s="1"/>
  <c r="S1355" i="2" s="1"/>
  <c r="A366" i="1"/>
  <c r="N4" i="2" l="1"/>
  <c r="R1660" i="2"/>
  <c r="A367" i="1"/>
  <c r="W1355" i="2"/>
  <c r="V1355" i="2"/>
  <c r="S1354" i="2"/>
  <c r="V1354" i="2" l="1"/>
  <c r="W1354" i="2"/>
  <c r="P1367" i="2"/>
  <c r="Q1367" i="2" s="1"/>
  <c r="S1367" i="2" s="1"/>
  <c r="A368" i="1"/>
  <c r="P1382" i="2" l="1"/>
  <c r="Q1382" i="2" s="1"/>
  <c r="S1382" i="2" s="1"/>
  <c r="A369" i="1"/>
  <c r="V1367" i="2"/>
  <c r="W1367" i="2"/>
  <c r="A370" i="1" l="1"/>
  <c r="V1382" i="2"/>
  <c r="W1382" i="2"/>
  <c r="A371" i="1" l="1"/>
  <c r="P1405" i="2" l="1"/>
  <c r="Q1405" i="2" s="1"/>
  <c r="S1405" i="2" s="1"/>
  <c r="A372" i="1"/>
  <c r="P1406" i="2" l="1"/>
  <c r="Q1406" i="2" s="1"/>
  <c r="S1406" i="2" s="1"/>
  <c r="V1406" i="2" s="1"/>
  <c r="A373" i="1"/>
  <c r="W1405" i="2"/>
  <c r="V1405" i="2"/>
  <c r="A374" i="1" l="1"/>
  <c r="P1407" i="2"/>
  <c r="Q1407" i="2" s="1"/>
  <c r="S1407" i="2" s="1"/>
  <c r="V1407" i="2" l="1"/>
  <c r="W1407" i="2"/>
  <c r="A375" i="1"/>
  <c r="A376" i="1" l="1"/>
  <c r="P1409" i="2"/>
  <c r="Q1409" i="2" s="1"/>
  <c r="S1409" i="2" s="1"/>
  <c r="A377" i="1" l="1"/>
  <c r="P1410" i="2"/>
  <c r="Q1410" i="2" s="1"/>
  <c r="S1410" i="2" s="1"/>
  <c r="V1410" i="2" s="1"/>
  <c r="A378" i="1" l="1"/>
  <c r="A379" i="1" l="1"/>
  <c r="A380" i="1" l="1"/>
  <c r="A381" i="1" l="1"/>
  <c r="A382" i="1" l="1"/>
  <c r="P1434" i="2"/>
  <c r="Q1434" i="2" s="1"/>
  <c r="S1434" i="2" s="1"/>
  <c r="W1434" i="2" l="1"/>
  <c r="V1434" i="2"/>
  <c r="A383" i="1"/>
  <c r="P1448" i="2" l="1"/>
  <c r="Q1448" i="2" s="1"/>
  <c r="S1448" i="2" s="1"/>
  <c r="A384" i="1"/>
  <c r="V1448" i="2" l="1"/>
  <c r="W1448" i="2"/>
  <c r="A385" i="1"/>
  <c r="P1459" i="2"/>
  <c r="Q1459" i="2" s="1"/>
  <c r="S1459" i="2" s="1"/>
  <c r="V1459" i="2" l="1"/>
  <c r="W1459" i="2"/>
  <c r="A386" i="1"/>
  <c r="P1460" i="2"/>
  <c r="Q1460" i="2" s="1"/>
  <c r="S1460" i="2" s="1"/>
  <c r="A387" i="1" l="1"/>
  <c r="P1477" i="2"/>
  <c r="Q1477" i="2" s="1"/>
  <c r="S1477" i="2" s="1"/>
  <c r="V1460" i="2"/>
  <c r="W1460" i="2"/>
  <c r="W1477" i="2" l="1"/>
  <c r="V1477" i="2"/>
  <c r="A388" i="1"/>
  <c r="A389" i="1" l="1"/>
  <c r="P1484" i="2"/>
  <c r="Q1484" i="2" s="1"/>
  <c r="S1484" i="2" s="1"/>
  <c r="V1484" i="2" s="1"/>
  <c r="A390" i="1" l="1"/>
  <c r="P1487" i="2" l="1"/>
  <c r="Q1487" i="2" s="1"/>
  <c r="S1487" i="2" s="1"/>
  <c r="A391" i="1"/>
  <c r="A392" i="1" l="1"/>
  <c r="W1487" i="2"/>
  <c r="V1487" i="2"/>
  <c r="A393" i="1" l="1"/>
  <c r="A394" i="1" l="1"/>
  <c r="P1494" i="2" l="1"/>
  <c r="Q1494" i="2" s="1"/>
  <c r="S1494" i="2" s="1"/>
  <c r="V1494" i="2" s="1"/>
  <c r="A395" i="1"/>
  <c r="A396" i="1" l="1"/>
  <c r="P1502" i="2"/>
  <c r="Q1502" i="2" s="1"/>
  <c r="S1502" i="2" s="1"/>
  <c r="V1502" i="2" s="1"/>
  <c r="A397" i="1" l="1"/>
  <c r="P1503" i="2"/>
  <c r="Q1503" i="2" s="1"/>
  <c r="S1503" i="2" s="1"/>
  <c r="V1503" i="2" s="1"/>
  <c r="A398" i="1" l="1"/>
  <c r="A399" i="1" l="1"/>
  <c r="A400" i="1" l="1"/>
  <c r="P1520" i="2"/>
  <c r="Q1520" i="2" s="1"/>
  <c r="S1520" i="2" s="1"/>
  <c r="V1520" i="2" s="1"/>
  <c r="A401" i="1" l="1"/>
  <c r="A402" i="1" l="1"/>
  <c r="A403" i="1" l="1"/>
  <c r="P1523" i="2"/>
  <c r="Q1523" i="2" s="1"/>
  <c r="S1523" i="2" s="1"/>
  <c r="V1523" i="2" s="1"/>
  <c r="A404" i="1" l="1"/>
  <c r="A405" i="1" l="1"/>
  <c r="A406" i="1" l="1"/>
  <c r="P1533" i="2"/>
  <c r="Q1533" i="2" s="1"/>
  <c r="S1533" i="2" s="1"/>
  <c r="V1533" i="2" s="1"/>
  <c r="A407" i="1" l="1"/>
  <c r="P1540" i="2" l="1"/>
  <c r="Q1540" i="2" s="1"/>
  <c r="S1540" i="2" s="1"/>
  <c r="V1540" i="2" s="1"/>
  <c r="A408" i="1"/>
  <c r="P1544" i="2" l="1"/>
  <c r="Q1544" i="2" s="1"/>
  <c r="S1544" i="2" s="1"/>
  <c r="A409" i="1"/>
  <c r="V1544" i="2" l="1"/>
  <c r="W1544" i="2"/>
  <c r="A410" i="1"/>
  <c r="A411" i="1" l="1"/>
  <c r="P1551" i="2"/>
  <c r="Q1551" i="2" s="1"/>
  <c r="S1551" i="2" s="1"/>
  <c r="V1551" i="2" l="1"/>
  <c r="W1551" i="2"/>
  <c r="P1562" i="2"/>
  <c r="Q1562" i="2" s="1"/>
  <c r="S1562" i="2" s="1"/>
  <c r="V1562" i="2" s="1"/>
  <c r="A412" i="1"/>
  <c r="A413" i="1" l="1"/>
  <c r="A414" i="1" l="1"/>
  <c r="A415" i="1" l="1"/>
  <c r="P1567" i="2"/>
  <c r="Q1567" i="2" s="1"/>
  <c r="S1567" i="2" s="1"/>
  <c r="V1567" i="2" s="1"/>
  <c r="A416" i="1" l="1"/>
  <c r="A417" i="1" l="1"/>
  <c r="A418" i="1" l="1"/>
  <c r="P1576" i="2" l="1"/>
  <c r="Q1576" i="2" s="1"/>
  <c r="S1576" i="2" s="1"/>
  <c r="V1576" i="2" s="1"/>
  <c r="A419" i="1"/>
  <c r="A420" i="1" l="1"/>
  <c r="P1632" i="2"/>
  <c r="Q1632" i="2" s="1"/>
  <c r="S1632" i="2" s="1"/>
  <c r="V1632" i="2" s="1"/>
  <c r="A421" i="1" l="1"/>
  <c r="P1602" i="2" l="1"/>
  <c r="Q1602" i="2" s="1"/>
  <c r="S1602" i="2" s="1"/>
  <c r="V1602" i="2" s="1"/>
  <c r="A422" i="1"/>
  <c r="P1605" i="2" l="1"/>
  <c r="Q1605" i="2" s="1"/>
  <c r="S1605" i="2" s="1"/>
  <c r="V1605" i="2" s="1"/>
  <c r="A423" i="1"/>
  <c r="A424" i="1" l="1"/>
  <c r="A425" i="1" l="1"/>
  <c r="A426" i="1" l="1"/>
  <c r="P1608" i="2"/>
  <c r="Q1608" i="2" s="1"/>
  <c r="S1608" i="2" s="1"/>
  <c r="V1608" i="2" l="1"/>
  <c r="W1608" i="2"/>
  <c r="A427" i="1"/>
  <c r="P1609" i="2"/>
  <c r="Q1609" i="2" s="1"/>
  <c r="S1609" i="2" s="1"/>
  <c r="V1609" i="2" l="1"/>
  <c r="W1609" i="2"/>
  <c r="P1607" i="2"/>
  <c r="Q1607" i="2" s="1"/>
  <c r="S1607" i="2" s="1"/>
  <c r="A428" i="1"/>
  <c r="V1607" i="2" l="1"/>
  <c r="W1607" i="2"/>
  <c r="A429" i="1"/>
  <c r="P1610" i="2"/>
  <c r="Q1610" i="2" s="1"/>
  <c r="S1610" i="2" s="1"/>
  <c r="V1610" i="2" l="1"/>
  <c r="W1610" i="2"/>
  <c r="A430" i="1"/>
  <c r="P1625" i="2"/>
  <c r="Q1625" i="2" s="1"/>
  <c r="S1625" i="2" s="1"/>
  <c r="V1625" i="2" s="1"/>
  <c r="P1623" i="2" l="1"/>
  <c r="Q1623" i="2" s="1"/>
  <c r="S1623" i="2" s="1"/>
  <c r="V1623" i="2" s="1"/>
  <c r="P1624" i="2"/>
  <c r="Q1624" i="2" s="1"/>
  <c r="S1624" i="2" s="1"/>
  <c r="V1624" i="2" s="1"/>
  <c r="P1611" i="2"/>
  <c r="P1616" i="2"/>
  <c r="Q1616" i="2" s="1"/>
  <c r="S1616" i="2" s="1"/>
  <c r="V1616" i="2" s="1"/>
  <c r="P1612" i="2"/>
  <c r="Q1612" i="2" s="1"/>
  <c r="S1612" i="2" s="1"/>
  <c r="V1612" i="2" s="1"/>
  <c r="P1613" i="2"/>
  <c r="Q1613" i="2" s="1"/>
  <c r="S1613" i="2" s="1"/>
  <c r="V1613" i="2" s="1"/>
  <c r="P1614" i="2"/>
  <c r="Q1614" i="2" s="1"/>
  <c r="S1614" i="2" s="1"/>
  <c r="V1614" i="2" s="1"/>
  <c r="P1615" i="2"/>
  <c r="Q1615" i="2" s="1"/>
  <c r="S1615" i="2" s="1"/>
  <c r="V1615" i="2" s="1"/>
  <c r="A431" i="1"/>
  <c r="P1630" i="2" l="1"/>
  <c r="Q1630" i="2" s="1"/>
  <c r="S1630" i="2" s="1"/>
  <c r="V1630" i="2" s="1"/>
  <c r="P1631" i="2"/>
  <c r="Q1631" i="2" s="1"/>
  <c r="S1631" i="2" s="1"/>
  <c r="V1631" i="2" s="1"/>
  <c r="P1622" i="2"/>
  <c r="Q1622" i="2" s="1"/>
  <c r="S1622" i="2" s="1"/>
  <c r="V1622" i="2" s="1"/>
  <c r="P1621" i="2"/>
  <c r="Q1621" i="2" s="1"/>
  <c r="S1621" i="2" s="1"/>
  <c r="V1621" i="2" s="1"/>
  <c r="P1620" i="2"/>
  <c r="Q1620" i="2" s="1"/>
  <c r="S1620" i="2" s="1"/>
  <c r="V1620" i="2" s="1"/>
  <c r="P1619" i="2"/>
  <c r="Q1619" i="2" s="1"/>
  <c r="S1619" i="2" s="1"/>
  <c r="V1619" i="2" s="1"/>
  <c r="P1618" i="2"/>
  <c r="Q1618" i="2" s="1"/>
  <c r="S1618" i="2" s="1"/>
  <c r="V1618" i="2" s="1"/>
  <c r="P1617" i="2"/>
  <c r="Q1611" i="2"/>
  <c r="A432" i="1"/>
  <c r="P1628" i="2" l="1"/>
  <c r="Q1628" i="2" s="1"/>
  <c r="S1628" i="2" s="1"/>
  <c r="V1628" i="2" s="1"/>
  <c r="P1629" i="2"/>
  <c r="Q1629" i="2" s="1"/>
  <c r="S1629" i="2" s="1"/>
  <c r="V1629" i="2" s="1"/>
  <c r="P1627" i="2"/>
  <c r="Q1627" i="2" s="1"/>
  <c r="S1627" i="2" s="1"/>
  <c r="V1627" i="2" s="1"/>
  <c r="P1626" i="2"/>
  <c r="Q1617" i="2"/>
  <c r="S1611" i="2"/>
  <c r="V1611" i="2" s="1"/>
  <c r="A433" i="1"/>
  <c r="P1635" i="2" l="1"/>
  <c r="Q1635" i="2" s="1"/>
  <c r="S1635" i="2" s="1"/>
  <c r="V1635" i="2" s="1"/>
  <c r="P1634" i="2"/>
  <c r="Q1634" i="2" s="1"/>
  <c r="S1634" i="2" s="1"/>
  <c r="V1634" i="2" s="1"/>
  <c r="P1633" i="2"/>
  <c r="Q1626" i="2"/>
  <c r="S1617" i="2"/>
  <c r="V1617" i="2" s="1"/>
  <c r="P1640" i="2"/>
  <c r="Q1640" i="2" s="1"/>
  <c r="S1640" i="2" s="1"/>
  <c r="V1640" i="2" s="1"/>
  <c r="P1638" i="2" l="1"/>
  <c r="Q1638" i="2" s="1"/>
  <c r="S1638" i="2" s="1"/>
  <c r="V1638" i="2" s="1"/>
  <c r="P1639" i="2"/>
  <c r="Q1639" i="2" s="1"/>
  <c r="S1639" i="2" s="1"/>
  <c r="V1639" i="2" s="1"/>
  <c r="P1636" i="2"/>
  <c r="Q1636" i="2" s="1"/>
  <c r="S1636" i="2" s="1"/>
  <c r="V1636" i="2" s="1"/>
  <c r="P1637" i="2"/>
  <c r="Q1637" i="2" s="1"/>
  <c r="S1637" i="2" s="1"/>
  <c r="V1637" i="2" s="1"/>
  <c r="Q1633" i="2"/>
  <c r="S1626" i="2"/>
  <c r="V1626" i="2" s="1"/>
  <c r="S1633" i="2" l="1"/>
  <c r="V1633" i="2" s="1"/>
  <c r="E282" i="2" l="1"/>
  <c r="E1383" i="2"/>
  <c r="E1516" i="2"/>
  <c r="E447" i="2"/>
  <c r="E442" i="2"/>
  <c r="E268" i="2"/>
  <c r="E516" i="2"/>
  <c r="E1330" i="2"/>
  <c r="E557" i="2"/>
  <c r="E1495" i="2"/>
  <c r="E744" i="2"/>
  <c r="E1459" i="2"/>
  <c r="E1482" i="2"/>
  <c r="E932" i="2"/>
  <c r="E684" i="2"/>
  <c r="E1416" i="2"/>
  <c r="E1402" i="2"/>
  <c r="E1508" i="2"/>
  <c r="E1426" i="2"/>
  <c r="E525" i="2"/>
  <c r="E259" i="2"/>
  <c r="E726" i="2"/>
  <c r="E1340" i="2"/>
  <c r="E1042" i="2"/>
  <c r="E691" i="2"/>
  <c r="E1422" i="2"/>
  <c r="E1490" i="2"/>
  <c r="E644" i="2"/>
  <c r="E1504" i="2"/>
  <c r="E1123" i="2"/>
  <c r="E736" i="2"/>
  <c r="E718" i="2"/>
  <c r="E1353" i="2"/>
  <c r="E1354" i="2"/>
  <c r="E758" i="2"/>
  <c r="E1114" i="2"/>
  <c r="E1358" i="2"/>
  <c r="P1521" i="2"/>
  <c r="E1489" i="2"/>
  <c r="E1318" i="2"/>
  <c r="P777" i="2"/>
  <c r="E1520" i="2"/>
  <c r="E704" i="2"/>
  <c r="E1488" i="2"/>
  <c r="E464" i="2"/>
  <c r="E1406" i="2"/>
  <c r="E375" i="2"/>
  <c r="E1407" i="2"/>
  <c r="E1483" i="2"/>
  <c r="E535" i="2"/>
  <c r="E1312" i="2"/>
  <c r="E1487" i="2"/>
  <c r="E1307" i="2"/>
  <c r="E770" i="2"/>
  <c r="E711" i="2"/>
  <c r="E1285" i="2"/>
  <c r="E1521" i="2"/>
  <c r="E1502" i="2"/>
  <c r="E366" i="2"/>
  <c r="E501" i="2"/>
  <c r="E460" i="2"/>
  <c r="B912" i="2"/>
  <c r="C912" i="2" s="1"/>
  <c r="B1578" i="2"/>
  <c r="C1578" i="2" s="1"/>
  <c r="B1142" i="2"/>
  <c r="C1142" i="2" s="1"/>
  <c r="B1117" i="2"/>
  <c r="C1117" i="2" s="1"/>
  <c r="B366" i="2"/>
  <c r="C366" i="2" s="1"/>
  <c r="D1271" i="2"/>
  <c r="B619" i="2"/>
  <c r="C619" i="2" s="1"/>
  <c r="B374" i="2"/>
  <c r="C374" i="2" s="1"/>
  <c r="B1524" i="2"/>
  <c r="C1524" i="2" s="1"/>
  <c r="D738" i="2"/>
  <c r="B1113" i="2"/>
  <c r="C1113" i="2" s="1"/>
  <c r="E593" i="2"/>
  <c r="D884" i="2"/>
  <c r="E1026" i="2"/>
  <c r="E480" i="2"/>
  <c r="B1152" i="2"/>
  <c r="C1152" i="2" s="1"/>
  <c r="B680" i="2"/>
  <c r="C680" i="2" s="1"/>
  <c r="B1130" i="2"/>
  <c r="C1130" i="2" s="1"/>
  <c r="B1056" i="2"/>
  <c r="C1056" i="2" s="1"/>
  <c r="B1362" i="2"/>
  <c r="C1362" i="2" s="1"/>
  <c r="B1351" i="2"/>
  <c r="C1351" i="2" s="1"/>
  <c r="E1049" i="2"/>
  <c r="B396" i="2"/>
  <c r="C396" i="2" s="1"/>
  <c r="B1044" i="2"/>
  <c r="C1044" i="2" s="1"/>
  <c r="D964" i="2"/>
  <c r="B894" i="2"/>
  <c r="C894" i="2" s="1"/>
  <c r="B672" i="2"/>
  <c r="C672" i="2" s="1"/>
  <c r="B1506" i="2"/>
  <c r="C1506" i="2" s="1"/>
  <c r="D1032" i="2"/>
  <c r="E419" i="2"/>
  <c r="B1541" i="2"/>
  <c r="C1541" i="2" s="1"/>
  <c r="E676" i="2"/>
  <c r="B903" i="2"/>
  <c r="C903" i="2" s="1"/>
  <c r="E1048" i="2"/>
  <c r="D997" i="2"/>
  <c r="B956" i="2"/>
  <c r="C956" i="2" s="1"/>
  <c r="B433" i="2"/>
  <c r="C433" i="2" s="1"/>
  <c r="B1559" i="2"/>
  <c r="C1559" i="2" s="1"/>
  <c r="E1068" i="2"/>
  <c r="D1394" i="2"/>
  <c r="D1545" i="2"/>
  <c r="E322" i="2"/>
  <c r="B977" i="2"/>
  <c r="C977" i="2" s="1"/>
  <c r="B658" i="2"/>
  <c r="C658" i="2" s="1"/>
  <c r="B291" i="2"/>
  <c r="C291" i="2" s="1"/>
  <c r="E1092" i="2"/>
  <c r="D411" i="2"/>
  <c r="D1231" i="2"/>
  <c r="D802" i="2"/>
  <c r="D943" i="2"/>
  <c r="B353" i="2"/>
  <c r="C353" i="2" s="1"/>
  <c r="E607" i="2"/>
  <c r="B385" i="2"/>
  <c r="C385" i="2" s="1"/>
  <c r="E1021" i="2"/>
  <c r="E377" i="2"/>
  <c r="E752" i="2"/>
  <c r="D1019" i="2"/>
  <c r="D1557" i="2"/>
  <c r="B1557" i="2"/>
  <c r="C1557" i="2" s="1"/>
  <c r="D312" i="2"/>
  <c r="E685" i="2"/>
  <c r="D397" i="2"/>
  <c r="E312" i="2"/>
  <c r="B609" i="2"/>
  <c r="C609" i="2" s="1"/>
  <c r="E1164" i="2"/>
  <c r="B1195" i="2"/>
  <c r="C1195" i="2" s="1"/>
  <c r="B494" i="2"/>
  <c r="C494" i="2" s="1"/>
  <c r="E381" i="2"/>
  <c r="D1480" i="2"/>
  <c r="D314" i="2"/>
  <c r="D1182" i="2"/>
  <c r="B356" i="2"/>
  <c r="C356" i="2" s="1"/>
  <c r="D912" i="2"/>
  <c r="D853" i="2"/>
  <c r="B545" i="2"/>
  <c r="C545" i="2" s="1"/>
  <c r="E284" i="2"/>
  <c r="E1030" i="2"/>
  <c r="E656" i="2"/>
  <c r="D915" i="2"/>
  <c r="D330" i="2"/>
  <c r="D1195" i="2"/>
  <c r="B1167" i="2"/>
  <c r="C1167" i="2" s="1"/>
  <c r="D971" i="2"/>
  <c r="E1351" i="2"/>
  <c r="D1383" i="2"/>
  <c r="P1351" i="2"/>
  <c r="Q1351" i="2" s="1"/>
  <c r="S1351" i="2" s="1"/>
  <c r="D1217" i="2"/>
  <c r="P1315" i="2"/>
  <c r="E1037" i="2"/>
  <c r="B364" i="2"/>
  <c r="C364" i="2" s="1"/>
  <c r="D1518" i="2"/>
  <c r="B1486" i="2"/>
  <c r="C1486" i="2" s="1"/>
  <c r="E536" i="2"/>
  <c r="P338" i="2"/>
  <c r="Q338" i="2" s="1"/>
  <c r="S338" i="2" s="1"/>
  <c r="D973" i="2"/>
  <c r="B908" i="2"/>
  <c r="C908" i="2" s="1"/>
  <c r="E301" i="2"/>
  <c r="D1191" i="2"/>
  <c r="D933" i="2"/>
  <c r="B1106" i="2"/>
  <c r="C1106" i="2" s="1"/>
  <c r="D807" i="2"/>
  <c r="D1437" i="2"/>
  <c r="E370" i="2"/>
  <c r="E1027" i="2"/>
  <c r="D849" i="2"/>
  <c r="D1555" i="2"/>
  <c r="P1531" i="2"/>
  <c r="E456" i="2"/>
  <c r="D784" i="2"/>
  <c r="E873" i="2"/>
  <c r="E1466" i="2"/>
  <c r="B660" i="2"/>
  <c r="C660" i="2" s="1"/>
  <c r="D1285" i="2"/>
  <c r="D456" i="2"/>
  <c r="E552" i="2"/>
  <c r="E1280" i="2"/>
  <c r="D544" i="2"/>
  <c r="B417" i="2"/>
  <c r="C417" i="2" s="1"/>
  <c r="B390" i="2"/>
  <c r="C390" i="2" s="1"/>
  <c r="B1184" i="2"/>
  <c r="C1184" i="2" s="1"/>
  <c r="E671" i="2"/>
  <c r="D375" i="2"/>
  <c r="B268" i="2"/>
  <c r="C268" i="2" s="1"/>
  <c r="E1150" i="2"/>
  <c r="B486" i="2"/>
  <c r="C486" i="2" s="1"/>
  <c r="D1110" i="2"/>
  <c r="B1230" i="2"/>
  <c r="C1230" i="2" s="1"/>
  <c r="B1083" i="2"/>
  <c r="C1083" i="2" s="1"/>
  <c r="E971" i="2"/>
  <c r="D1588" i="2"/>
  <c r="B412" i="2"/>
  <c r="C412" i="2" s="1"/>
  <c r="D260" i="2"/>
  <c r="D289" i="2"/>
  <c r="D1233" i="2"/>
  <c r="D258" i="2"/>
  <c r="B262" i="2"/>
  <c r="C262" i="2" s="1"/>
  <c r="E1472" i="2"/>
  <c r="B1016" i="2"/>
  <c r="C1016" i="2" s="1"/>
  <c r="B732" i="2"/>
  <c r="C732" i="2" s="1"/>
  <c r="D1168" i="2"/>
  <c r="D692" i="2"/>
  <c r="E729" i="2"/>
  <c r="E1584" i="2"/>
  <c r="D1246" i="2"/>
  <c r="D831" i="2"/>
  <c r="E472" i="2"/>
  <c r="D243" i="2"/>
  <c r="E383" i="2"/>
  <c r="D1226" i="2"/>
  <c r="B692" i="2"/>
  <c r="C692" i="2" s="1"/>
  <c r="E970" i="2"/>
  <c r="E628" i="2"/>
  <c r="B585" i="2"/>
  <c r="C585" i="2" s="1"/>
  <c r="B430" i="2"/>
  <c r="C430" i="2" s="1"/>
  <c r="B1190" i="2"/>
  <c r="C1190" i="2" s="1"/>
  <c r="E1575" i="2"/>
  <c r="B452" i="2"/>
  <c r="C452" i="2" s="1"/>
  <c r="B747" i="2"/>
  <c r="C747" i="2" s="1"/>
  <c r="D1079" i="2"/>
  <c r="E272" i="2"/>
  <c r="B795" i="2"/>
  <c r="C795" i="2" s="1"/>
  <c r="D1145" i="2"/>
  <c r="E240" i="2"/>
  <c r="D1482" i="2"/>
  <c r="D693" i="2"/>
  <c r="E936" i="2"/>
  <c r="D1456" i="2"/>
  <c r="B320" i="2"/>
  <c r="C320" i="2" s="1"/>
  <c r="E1112" i="2"/>
  <c r="B812" i="2"/>
  <c r="C812" i="2" s="1"/>
  <c r="B1401" i="2"/>
  <c r="C1401" i="2" s="1"/>
  <c r="D628" i="2"/>
  <c r="B677" i="2"/>
  <c r="C677" i="2" s="1"/>
  <c r="D1453" i="2"/>
  <c r="P710" i="2"/>
  <c r="P1475" i="2"/>
  <c r="Q1475" i="2" s="1"/>
  <c r="S1475" i="2" s="1"/>
  <c r="B238" i="2"/>
  <c r="C238" i="2" s="1"/>
  <c r="E273" i="2"/>
  <c r="D1006" i="2"/>
  <c r="B624" i="2"/>
  <c r="C624" i="2" s="1"/>
  <c r="E1518" i="2"/>
  <c r="D1103" i="2"/>
  <c r="D923" i="2"/>
  <c r="D594" i="2"/>
  <c r="D229" i="2"/>
  <c r="B1497" i="2"/>
  <c r="C1497" i="2" s="1"/>
  <c r="B1420" i="2"/>
  <c r="C1420" i="2" s="1"/>
  <c r="B1391" i="2"/>
  <c r="C1391" i="2" s="1"/>
  <c r="E1041" i="2"/>
  <c r="E533" i="2"/>
  <c r="D228" i="2"/>
  <c r="P886" i="2"/>
  <c r="Q886" i="2" s="1"/>
  <c r="S886" i="2" s="1"/>
  <c r="P1396" i="2"/>
  <c r="Q1396" i="2" s="1"/>
  <c r="S1396" i="2" s="1"/>
  <c r="B259" i="2"/>
  <c r="C259" i="2" s="1"/>
  <c r="E1428" i="2"/>
  <c r="D333" i="2"/>
  <c r="D416" i="2"/>
  <c r="E1449" i="2"/>
  <c r="D1449" i="2"/>
  <c r="D1071" i="2"/>
  <c r="P1517" i="2"/>
  <c r="Q1517" i="2" s="1"/>
  <c r="S1517" i="2" s="1"/>
  <c r="V1517" i="2" s="1"/>
  <c r="B687" i="2"/>
  <c r="C687" i="2" s="1"/>
  <c r="P593" i="2"/>
  <c r="Q593" i="2" s="1"/>
  <c r="S593" i="2" s="1"/>
  <c r="E227" i="2"/>
  <c r="E1225" i="2"/>
  <c r="B945" i="2"/>
  <c r="C945" i="2" s="1"/>
  <c r="B464" i="2"/>
  <c r="C464" i="2" s="1"/>
  <c r="B1310" i="2"/>
  <c r="C1310" i="2" s="1"/>
  <c r="B1055" i="2"/>
  <c r="C1055" i="2" s="1"/>
  <c r="D1433" i="2"/>
  <c r="B851" i="2"/>
  <c r="C851" i="2" s="1"/>
  <c r="B537" i="2"/>
  <c r="C537" i="2" s="1"/>
  <c r="D1184" i="2"/>
  <c r="E754" i="2"/>
  <c r="B1383" i="2"/>
  <c r="C1383" i="2" s="1"/>
  <c r="D1310" i="2"/>
  <c r="D826" i="2"/>
  <c r="B1131" i="2"/>
  <c r="C1131" i="2" s="1"/>
  <c r="E1292" i="2"/>
  <c r="B1080" i="2"/>
  <c r="C1080" i="2" s="1"/>
  <c r="B465" i="2"/>
  <c r="C465" i="2" s="1"/>
  <c r="B656" i="2"/>
  <c r="C656" i="2" s="1"/>
  <c r="D391" i="2"/>
  <c r="E703" i="2"/>
  <c r="B1434" i="2"/>
  <c r="C1434" i="2" s="1"/>
  <c r="B1341" i="2"/>
  <c r="C1341" i="2" s="1"/>
  <c r="E1450" i="2"/>
  <c r="E1263" i="2"/>
  <c r="B1217" i="2"/>
  <c r="C1217" i="2" s="1"/>
  <c r="D724" i="2"/>
  <c r="E1101" i="2"/>
  <c r="D1486" i="2"/>
  <c r="B1394" i="2"/>
  <c r="C1394" i="2" s="1"/>
  <c r="E955" i="2"/>
  <c r="E986" i="2"/>
  <c r="D629" i="2"/>
  <c r="E761" i="2"/>
  <c r="B379" i="2"/>
  <c r="C379" i="2" s="1"/>
  <c r="E332" i="2"/>
  <c r="B920" i="2"/>
  <c r="C920" i="2" s="1"/>
  <c r="B1361" i="2"/>
  <c r="C1361" i="2" s="1"/>
  <c r="E1319" i="2"/>
  <c r="E330" i="2"/>
  <c r="B386" i="2"/>
  <c r="C386" i="2" s="1"/>
  <c r="B1031" i="2"/>
  <c r="C1031" i="2" s="1"/>
  <c r="E739" i="2"/>
  <c r="D987" i="2"/>
  <c r="B298" i="2"/>
  <c r="C298" i="2" s="1"/>
  <c r="B1485" i="2"/>
  <c r="C1485" i="2" s="1"/>
  <c r="B1238" i="2"/>
  <c r="C1238" i="2" s="1"/>
  <c r="E630" i="2"/>
  <c r="E1197" i="2"/>
  <c r="D699" i="2"/>
  <c r="D1361" i="2"/>
  <c r="D677" i="2"/>
  <c r="D1388" i="2"/>
  <c r="E481" i="2"/>
  <c r="D775" i="2"/>
  <c r="D1490" i="2"/>
  <c r="B401" i="2"/>
  <c r="C401" i="2" s="1"/>
  <c r="B725" i="2"/>
  <c r="C725" i="2" s="1"/>
  <c r="E1216" i="2"/>
  <c r="D381" i="2"/>
  <c r="B957" i="2"/>
  <c r="C957" i="2" s="1"/>
  <c r="D728" i="2"/>
  <c r="D385" i="2"/>
  <c r="B1185" i="2"/>
  <c r="C1185" i="2" s="1"/>
  <c r="E1189" i="2"/>
  <c r="B623" i="2"/>
  <c r="C623" i="2" s="1"/>
  <c r="D1048" i="2"/>
  <c r="E1043" i="2"/>
  <c r="P625" i="2"/>
  <c r="Q625" i="2" s="1"/>
  <c r="S625" i="2" s="1"/>
  <c r="E750" i="2"/>
  <c r="E791" i="2"/>
  <c r="B440" i="2"/>
  <c r="C440" i="2" s="1"/>
  <c r="E551" i="2"/>
  <c r="E1247" i="2"/>
  <c r="D246" i="2"/>
  <c r="D273" i="2"/>
  <c r="E1147" i="2"/>
  <c r="B1000" i="2"/>
  <c r="C1000" i="2" s="1"/>
  <c r="D1171" i="2"/>
  <c r="E919" i="2"/>
  <c r="B1600" i="2"/>
  <c r="C1600" i="2" s="1"/>
  <c r="E1226" i="2"/>
  <c r="D1346" i="2"/>
  <c r="B959" i="2"/>
  <c r="C959" i="2" s="1"/>
  <c r="B1029" i="2"/>
  <c r="C1029" i="2" s="1"/>
  <c r="D555" i="2"/>
  <c r="B921" i="2"/>
  <c r="C921" i="2" s="1"/>
  <c r="B1355" i="2"/>
  <c r="C1355" i="2" s="1"/>
  <c r="B496" i="2"/>
  <c r="C496" i="2" s="1"/>
  <c r="E359" i="2"/>
  <c r="E1265" i="2"/>
  <c r="D874" i="2"/>
  <c r="D451" i="2"/>
  <c r="B1231" i="2"/>
  <c r="C1231" i="2" s="1"/>
  <c r="D1179" i="2"/>
  <c r="E721" i="2"/>
  <c r="E334" i="2"/>
  <c r="B1393" i="2"/>
  <c r="C1393" i="2" s="1"/>
  <c r="D1127" i="2"/>
  <c r="E1434" i="2"/>
  <c r="B769" i="2"/>
  <c r="C769" i="2" s="1"/>
  <c r="E1207" i="2"/>
  <c r="E1199" i="2"/>
  <c r="E1597" i="2"/>
  <c r="B946" i="2"/>
  <c r="C946" i="2" s="1"/>
  <c r="D864" i="2"/>
  <c r="B553" i="2"/>
  <c r="C553" i="2" s="1"/>
  <c r="B245" i="2"/>
  <c r="C245" i="2" s="1"/>
  <c r="B1328" i="2"/>
  <c r="C1328" i="2" s="1"/>
  <c r="B541" i="2"/>
  <c r="C541" i="2" s="1"/>
  <c r="E811" i="2"/>
  <c r="B931" i="2"/>
  <c r="C931" i="2" s="1"/>
  <c r="D644" i="2"/>
  <c r="B547" i="2"/>
  <c r="C547" i="2" s="1"/>
  <c r="D1100" i="2"/>
  <c r="D578" i="2"/>
  <c r="E821" i="2"/>
  <c r="B1561" i="2"/>
  <c r="C1561" i="2" s="1"/>
  <c r="B572" i="2"/>
  <c r="C572" i="2" s="1"/>
  <c r="D717" i="2"/>
  <c r="E1371" i="2"/>
  <c r="E655" i="2"/>
  <c r="D801" i="2"/>
  <c r="B1601" i="2"/>
  <c r="C1601" i="2" s="1"/>
  <c r="E1129" i="2"/>
  <c r="D1395" i="2"/>
  <c r="D1205" i="2"/>
  <c r="E675" i="2"/>
  <c r="B1376" i="2"/>
  <c r="C1376" i="2" s="1"/>
  <c r="B953" i="2"/>
  <c r="C953" i="2" s="1"/>
  <c r="D754" i="2"/>
  <c r="B1049" i="2"/>
  <c r="C1049" i="2" s="1"/>
  <c r="E665" i="2"/>
  <c r="B1269" i="2"/>
  <c r="C1269" i="2" s="1"/>
  <c r="B1500" i="2"/>
  <c r="C1500" i="2" s="1"/>
  <c r="E320" i="2"/>
  <c r="B1470" i="2"/>
  <c r="C1470" i="2" s="1"/>
  <c r="B1179" i="2"/>
  <c r="C1179" i="2" s="1"/>
  <c r="D1348" i="2"/>
  <c r="D623" i="2"/>
  <c r="B860" i="2"/>
  <c r="C860" i="2" s="1"/>
  <c r="E623" i="2"/>
  <c r="E716" i="2"/>
  <c r="D587" i="2"/>
  <c r="D301" i="2"/>
  <c r="E543" i="2"/>
  <c r="B280" i="2"/>
  <c r="C280" i="2" s="1"/>
  <c r="E445" i="2"/>
  <c r="B1346" i="2"/>
  <c r="C1346" i="2" s="1"/>
  <c r="B516" i="2"/>
  <c r="C516" i="2" s="1"/>
  <c r="D302" i="2"/>
  <c r="B1108" i="2"/>
  <c r="C1108" i="2" s="1"/>
  <c r="D710" i="2"/>
  <c r="E1497" i="2"/>
  <c r="B511" i="2"/>
  <c r="C511" i="2" s="1"/>
  <c r="B1465" i="2"/>
  <c r="C1465" i="2" s="1"/>
  <c r="E277" i="2"/>
  <c r="D767" i="2"/>
  <c r="B1266" i="2"/>
  <c r="C1266" i="2" s="1"/>
  <c r="D604" i="2"/>
  <c r="D296" i="2"/>
  <c r="E600" i="2"/>
  <c r="E647" i="2"/>
  <c r="D610" i="2"/>
  <c r="B1513" i="2"/>
  <c r="C1513" i="2" s="1"/>
  <c r="D1049" i="2"/>
  <c r="E740" i="2"/>
  <c r="D396" i="2"/>
  <c r="E606" i="2"/>
  <c r="E871" i="2"/>
  <c r="D1060" i="2"/>
  <c r="B1052" i="2"/>
  <c r="C1052" i="2" s="1"/>
  <c r="E492" i="2"/>
  <c r="D1393" i="2"/>
  <c r="E702" i="2"/>
  <c r="D393" i="2"/>
  <c r="D621" i="2"/>
  <c r="B1538" i="2"/>
  <c r="C1538" i="2" s="1"/>
  <c r="B513" i="2"/>
  <c r="C513" i="2" s="1"/>
  <c r="D1451" i="2"/>
  <c r="D637" i="2"/>
  <c r="P1044" i="2"/>
  <c r="E694" i="2"/>
  <c r="B621" i="2"/>
  <c r="C621" i="2" s="1"/>
  <c r="P901" i="2"/>
  <c r="Q901" i="2" s="1"/>
  <c r="S901" i="2" s="1"/>
  <c r="B1134" i="2"/>
  <c r="C1134" i="2" s="1"/>
  <c r="B1038" i="2"/>
  <c r="C1038" i="2" s="1"/>
  <c r="B840" i="2"/>
  <c r="C840" i="2" s="1"/>
  <c r="E380" i="2"/>
  <c r="D858" i="2"/>
  <c r="B1558" i="2"/>
  <c r="C1558" i="2" s="1"/>
  <c r="E1113" i="2"/>
  <c r="B307" i="2"/>
  <c r="C307" i="2" s="1"/>
  <c r="E1560" i="2"/>
  <c r="E440" i="2"/>
  <c r="E1302" i="2"/>
  <c r="B929" i="2"/>
  <c r="C929" i="2" s="1"/>
  <c r="D568" i="2"/>
  <c r="D1174" i="2"/>
  <c r="D657" i="2"/>
  <c r="D895" i="2"/>
  <c r="E1191" i="2"/>
  <c r="D812" i="2"/>
  <c r="E1494" i="2"/>
  <c r="E394" i="2"/>
  <c r="B244" i="2"/>
  <c r="C244" i="2" s="1"/>
  <c r="E808" i="2"/>
  <c r="B1300" i="2"/>
  <c r="C1300" i="2" s="1"/>
  <c r="E1540" i="2"/>
  <c r="E1289" i="2"/>
  <c r="B1275" i="2"/>
  <c r="C1275" i="2" s="1"/>
  <c r="E883" i="2"/>
  <c r="E449" i="2"/>
  <c r="E1116" i="2"/>
  <c r="B984" i="2"/>
  <c r="C984" i="2" s="1"/>
  <c r="E561" i="2"/>
  <c r="E1034" i="2"/>
  <c r="B1004" i="2"/>
  <c r="C1004" i="2" s="1"/>
  <c r="E547" i="2"/>
  <c r="E987" i="2"/>
  <c r="E1412" i="2"/>
  <c r="B1181" i="2"/>
  <c r="C1181" i="2" s="1"/>
  <c r="D1076" i="2"/>
  <c r="B588" i="2"/>
  <c r="C588" i="2" s="1"/>
  <c r="E343" i="2"/>
  <c r="P523" i="2"/>
  <c r="Q523" i="2" s="1"/>
  <c r="S523" i="2" s="1"/>
  <c r="B1125" i="2"/>
  <c r="C1125" i="2" s="1"/>
  <c r="D983" i="2"/>
  <c r="B848" i="2"/>
  <c r="C848" i="2" s="1"/>
  <c r="E627" i="2"/>
  <c r="B1451" i="2"/>
  <c r="C1451" i="2" s="1"/>
  <c r="E872" i="2"/>
  <c r="B1504" i="2"/>
  <c r="C1504" i="2" s="1"/>
  <c r="B456" i="2"/>
  <c r="C456" i="2" s="1"/>
  <c r="E1177" i="2"/>
  <c r="B1078" i="2"/>
  <c r="C1078" i="2" s="1"/>
  <c r="E943" i="2"/>
  <c r="E909" i="2"/>
  <c r="D1498" i="2"/>
  <c r="D1464" i="2"/>
  <c r="E810" i="2"/>
  <c r="D796" i="2"/>
  <c r="D1580" i="2"/>
  <c r="E1074" i="2"/>
  <c r="E1541" i="2"/>
  <c r="B1463" i="2"/>
  <c r="C1463" i="2" s="1"/>
  <c r="D1502" i="2"/>
  <c r="D683" i="2"/>
  <c r="E677" i="2"/>
  <c r="B855" i="2"/>
  <c r="C855" i="2" s="1"/>
  <c r="E471" i="2"/>
  <c r="D346" i="2"/>
  <c r="D1189" i="2"/>
  <c r="D626" i="2"/>
  <c r="E940" i="2"/>
  <c r="E326" i="2"/>
  <c r="E1512" i="2"/>
  <c r="E417" i="2"/>
  <c r="B950" i="2"/>
  <c r="C950" i="2" s="1"/>
  <c r="B841" i="2"/>
  <c r="C841" i="2" s="1"/>
  <c r="B1028" i="2"/>
  <c r="C1028" i="2" s="1"/>
  <c r="B266" i="2"/>
  <c r="C266" i="2" s="1"/>
  <c r="E238" i="2"/>
  <c r="D740" i="2"/>
  <c r="E748" i="2"/>
  <c r="E528" i="2"/>
  <c r="D272" i="2"/>
  <c r="B1442" i="2"/>
  <c r="C1442" i="2" s="1"/>
  <c r="E1105" i="2"/>
  <c r="B983" i="2"/>
  <c r="C983" i="2" s="1"/>
  <c r="B784" i="2"/>
  <c r="C784" i="2" s="1"/>
  <c r="D885" i="2"/>
  <c r="D792" i="2"/>
  <c r="B878" i="2"/>
  <c r="C878" i="2" s="1"/>
  <c r="E499" i="2"/>
  <c r="D293" i="2"/>
  <c r="E252" i="2"/>
  <c r="E991" i="2"/>
  <c r="D502" i="2"/>
  <c r="D1029" i="2"/>
  <c r="B1240" i="2"/>
  <c r="C1240" i="2" s="1"/>
  <c r="B1529" i="2"/>
  <c r="C1529" i="2" s="1"/>
  <c r="E530" i="2"/>
  <c r="B736" i="2"/>
  <c r="C736" i="2" s="1"/>
  <c r="B739" i="2"/>
  <c r="C739" i="2" s="1"/>
  <c r="D960" i="2"/>
  <c r="B523" i="2"/>
  <c r="C523" i="2" s="1"/>
  <c r="B891" i="2"/>
  <c r="C891" i="2" s="1"/>
  <c r="E724" i="2"/>
  <c r="B1239" i="2"/>
  <c r="C1239" i="2" s="1"/>
  <c r="E1014" i="2"/>
  <c r="E833" i="2"/>
  <c r="D1160" i="2"/>
  <c r="D1419" i="2"/>
  <c r="B767" i="2"/>
  <c r="C767" i="2" s="1"/>
  <c r="D494" i="2"/>
  <c r="P864" i="2"/>
  <c r="Q864" i="2" s="1"/>
  <c r="S864" i="2" s="1"/>
  <c r="B1554" i="2"/>
  <c r="C1554" i="2" s="1"/>
  <c r="D403" i="2"/>
  <c r="E1287" i="2"/>
  <c r="E1524" i="2"/>
  <c r="E787" i="2"/>
  <c r="D1118" i="2"/>
  <c r="B1358" i="2"/>
  <c r="C1358" i="2" s="1"/>
  <c r="D1008" i="2"/>
  <c r="B573" i="2"/>
  <c r="C573" i="2" s="1"/>
  <c r="B1304" i="2"/>
  <c r="C1304" i="2" s="1"/>
  <c r="E1059" i="2"/>
  <c r="B973" i="2"/>
  <c r="C973" i="2" s="1"/>
  <c r="E537" i="2"/>
  <c r="D613" i="2"/>
  <c r="P1263" i="2"/>
  <c r="Q1263" i="2" s="1"/>
  <c r="S1263" i="2" s="1"/>
  <c r="V1263" i="2" s="1"/>
  <c r="E462" i="2"/>
  <c r="B780" i="2"/>
  <c r="C780" i="2" s="1"/>
  <c r="B482" i="2"/>
  <c r="C482" i="2" s="1"/>
  <c r="E576" i="2"/>
  <c r="E1418" i="2"/>
  <c r="E985" i="2"/>
  <c r="E1206" i="2"/>
  <c r="B1518" i="2"/>
  <c r="C1518" i="2" s="1"/>
  <c r="E416" i="2"/>
  <c r="B344" i="2"/>
  <c r="C344" i="2" s="1"/>
  <c r="E1326" i="2"/>
  <c r="B1062" i="2"/>
  <c r="C1062" i="2" s="1"/>
  <c r="E615" i="2"/>
  <c r="E1143" i="2"/>
  <c r="D1334" i="2"/>
  <c r="D583" i="2"/>
  <c r="E1156" i="2"/>
  <c r="D684" i="2"/>
  <c r="E597" i="2"/>
  <c r="E239" i="2"/>
  <c r="B1565" i="2"/>
  <c r="C1565" i="2" s="1"/>
  <c r="D736" i="2"/>
  <c r="B1407" i="2"/>
  <c r="C1407" i="2" s="1"/>
  <c r="B1220" i="2"/>
  <c r="C1220" i="2" s="1"/>
  <c r="D921" i="2"/>
  <c r="E1157" i="2"/>
  <c r="D1422" i="2"/>
  <c r="D524" i="2"/>
  <c r="B1577" i="2"/>
  <c r="C1577" i="2" s="1"/>
  <c r="E1259" i="2"/>
  <c r="D1377" i="2"/>
  <c r="D998" i="2"/>
  <c r="E1038" i="2"/>
  <c r="E777" i="2"/>
  <c r="B1514" i="2"/>
  <c r="C1514" i="2" s="1"/>
  <c r="B1452" i="2"/>
  <c r="C1452" i="2" s="1"/>
  <c r="D1270" i="2"/>
  <c r="B885" i="2"/>
  <c r="C885" i="2" s="1"/>
  <c r="D1559" i="2"/>
  <c r="B1232" i="2"/>
  <c r="C1232" i="2" s="1"/>
  <c r="D455" i="2"/>
  <c r="D1465" i="2"/>
  <c r="D292" i="2"/>
  <c r="D940" i="2"/>
  <c r="D1298" i="2"/>
  <c r="D776" i="2"/>
  <c r="B1169" i="2"/>
  <c r="C1169" i="2" s="1"/>
  <c r="D344" i="2"/>
  <c r="D1553" i="2"/>
  <c r="D783" i="2"/>
  <c r="B631" i="2"/>
  <c r="C631" i="2" s="1"/>
  <c r="B351" i="2"/>
  <c r="C351" i="2" s="1"/>
  <c r="D1307" i="2"/>
  <c r="D1564" i="2"/>
  <c r="D1037" i="2"/>
  <c r="B1210" i="2"/>
  <c r="C1210" i="2" s="1"/>
  <c r="D514" i="2"/>
  <c r="B593" i="2"/>
  <c r="C593" i="2" s="1"/>
  <c r="D1219" i="2"/>
  <c r="B549" i="2"/>
  <c r="C549" i="2" s="1"/>
  <c r="E1486" i="2"/>
  <c r="D265" i="2"/>
  <c r="B1166" i="2"/>
  <c r="C1166" i="2" s="1"/>
  <c r="D463" i="2"/>
  <c r="E652" i="2"/>
  <c r="E329" i="2"/>
  <c r="E1345" i="2"/>
  <c r="B1226" i="2"/>
  <c r="C1226" i="2" s="1"/>
  <c r="B1313" i="2"/>
  <c r="C1313" i="2" s="1"/>
  <c r="B1344" i="2"/>
  <c r="C1344" i="2" s="1"/>
  <c r="E1443" i="2"/>
  <c r="D465" i="2"/>
  <c r="E855" i="2"/>
  <c r="B744" i="2"/>
  <c r="C744" i="2" s="1"/>
  <c r="B865" i="2"/>
  <c r="C865" i="2" s="1"/>
  <c r="B1295" i="2"/>
  <c r="C1295" i="2" s="1"/>
  <c r="E911" i="2"/>
  <c r="E923" i="2"/>
  <c r="B1475" i="2"/>
  <c r="C1475" i="2" s="1"/>
  <c r="B1348" i="2"/>
  <c r="C1348" i="2" s="1"/>
  <c r="B1191" i="2"/>
  <c r="C1191" i="2" s="1"/>
  <c r="P1214" i="2"/>
  <c r="Q1214" i="2" s="1"/>
  <c r="S1214" i="2" s="1"/>
  <c r="V1214" i="2" s="1"/>
  <c r="B995" i="2"/>
  <c r="C995" i="2" s="1"/>
  <c r="D1183" i="2"/>
  <c r="D1045" i="2"/>
  <c r="B667" i="2"/>
  <c r="C667" i="2" s="1"/>
  <c r="E1076" i="2"/>
  <c r="B489" i="2"/>
  <c r="C489" i="2" s="1"/>
  <c r="B1483" i="2"/>
  <c r="C1483" i="2" s="1"/>
  <c r="B734" i="2"/>
  <c r="C734" i="2" s="1"/>
  <c r="D1206" i="2"/>
  <c r="D360" i="2"/>
  <c r="D1444" i="2"/>
  <c r="E230" i="2"/>
  <c r="E715" i="2"/>
  <c r="D841" i="2"/>
  <c r="E307" i="2"/>
  <c r="E1413" i="2"/>
  <c r="D303" i="2"/>
  <c r="P1093" i="2"/>
  <c r="Q1093" i="2" s="1"/>
  <c r="S1093" i="2" s="1"/>
  <c r="P624" i="2"/>
  <c r="Q624" i="2" s="1"/>
  <c r="S624" i="2" s="1"/>
  <c r="P862" i="2"/>
  <c r="Q862" i="2" s="1"/>
  <c r="S862" i="2" s="1"/>
  <c r="B737" i="2"/>
  <c r="C737" i="2" s="1"/>
  <c r="D1568" i="2"/>
  <c r="B1311" i="2"/>
  <c r="C1311" i="2" s="1"/>
  <c r="E584" i="2"/>
  <c r="E339" i="2"/>
  <c r="E1513" i="2"/>
  <c r="P1465" i="2"/>
  <c r="Q1465" i="2" s="1"/>
  <c r="S1465" i="2" s="1"/>
  <c r="P347" i="2"/>
  <c r="Q347" i="2" s="1"/>
  <c r="S347" i="2" s="1"/>
  <c r="P1202" i="2"/>
  <c r="Q1202" i="2" s="1"/>
  <c r="S1202" i="2" s="1"/>
  <c r="V1202" i="2" s="1"/>
  <c r="D379" i="2"/>
  <c r="B615" i="2"/>
  <c r="C615" i="2" s="1"/>
  <c r="D1177" i="2"/>
  <c r="E397" i="2"/>
  <c r="B1455" i="2"/>
  <c r="C1455" i="2" s="1"/>
  <c r="B1568" i="2"/>
  <c r="C1568" i="2" s="1"/>
  <c r="D984" i="2"/>
  <c r="E1001" i="2"/>
  <c r="P1473" i="2"/>
  <c r="Q1473" i="2" s="1"/>
  <c r="S1473" i="2" s="1"/>
  <c r="D1197" i="2"/>
  <c r="B904" i="2"/>
  <c r="C904" i="2" s="1"/>
  <c r="D350" i="2"/>
  <c r="P337" i="2"/>
  <c r="Q337" i="2" s="1"/>
  <c r="S337" i="2" s="1"/>
  <c r="B702" i="2"/>
  <c r="C702" i="2" s="1"/>
  <c r="B606" i="2"/>
  <c r="C606" i="2" s="1"/>
  <c r="B595" i="2"/>
  <c r="C595" i="2" s="1"/>
  <c r="D815" i="2"/>
  <c r="D744" i="2"/>
  <c r="E733" i="2"/>
  <c r="P241" i="2"/>
  <c r="D448" i="2"/>
  <c r="B1477" i="2"/>
  <c r="C1477" i="2" s="1"/>
  <c r="E1474" i="2"/>
  <c r="D639" i="2"/>
  <c r="D654" i="2"/>
  <c r="D865" i="2"/>
  <c r="D1341" i="2"/>
  <c r="B380" i="2"/>
  <c r="C380" i="2" s="1"/>
  <c r="P613" i="2"/>
  <c r="P538" i="2"/>
  <c r="E1159" i="2"/>
  <c r="D388" i="2"/>
  <c r="E1211" i="2"/>
  <c r="B1487" i="2"/>
  <c r="C1487" i="2" s="1"/>
  <c r="D317" i="2"/>
  <c r="B389" i="2"/>
  <c r="C389" i="2" s="1"/>
  <c r="B980" i="2"/>
  <c r="C980" i="2" s="1"/>
  <c r="D567" i="2"/>
  <c r="D1460" i="2"/>
  <c r="P1004" i="2"/>
  <c r="Q1004" i="2" s="1"/>
  <c r="S1004" i="2" s="1"/>
  <c r="D459" i="2"/>
  <c r="D1212" i="2"/>
  <c r="B793" i="2"/>
  <c r="C793" i="2" s="1"/>
  <c r="B558" i="2"/>
  <c r="C558" i="2" s="1"/>
  <c r="B1400" i="2"/>
  <c r="C1400" i="2" s="1"/>
  <c r="P218" i="2"/>
  <c r="E1246" i="2"/>
  <c r="E1368" i="2"/>
  <c r="B1435" i="2"/>
  <c r="C1435" i="2" s="1"/>
  <c r="B1175" i="2"/>
  <c r="C1175" i="2" s="1"/>
  <c r="E838" i="2"/>
  <c r="B460" i="2"/>
  <c r="C460" i="2" s="1"/>
  <c r="B488" i="2"/>
  <c r="C488" i="2" s="1"/>
  <c r="E649" i="2"/>
  <c r="B1505" i="2"/>
  <c r="C1505" i="2" s="1"/>
  <c r="D1203" i="2"/>
  <c r="E1332" i="2"/>
  <c r="E286" i="2"/>
  <c r="B1093" i="2"/>
  <c r="C1093" i="2" s="1"/>
  <c r="E1097" i="2"/>
  <c r="E1018" i="2"/>
  <c r="D598" i="2"/>
  <c r="E548" i="2"/>
  <c r="B1247" i="2"/>
  <c r="C1247" i="2" s="1"/>
  <c r="D651" i="2"/>
  <c r="B1228" i="2"/>
  <c r="C1228" i="2" s="1"/>
  <c r="E1087" i="2"/>
  <c r="B540" i="2"/>
  <c r="C540" i="2" s="1"/>
  <c r="E1272" i="2"/>
  <c r="B1077" i="2"/>
  <c r="C1077" i="2" s="1"/>
  <c r="D652" i="2"/>
  <c r="B1453" i="2"/>
  <c r="C1453" i="2" s="1"/>
  <c r="B1090" i="2"/>
  <c r="C1090" i="2" s="1"/>
  <c r="B1331" i="2"/>
  <c r="C1331" i="2" s="1"/>
  <c r="D1130" i="2"/>
  <c r="B1201" i="2"/>
  <c r="C1201" i="2" s="1"/>
  <c r="D1156" i="2"/>
  <c r="B361" i="2"/>
  <c r="C361" i="2" s="1"/>
  <c r="B1203" i="2"/>
  <c r="C1203" i="2" s="1"/>
  <c r="D1426" i="2"/>
  <c r="D1428" i="2"/>
  <c r="D878" i="2"/>
  <c r="B1273" i="2"/>
  <c r="C1273" i="2" s="1"/>
  <c r="D257" i="2"/>
  <c r="D1473" i="2"/>
  <c r="E678" i="2"/>
  <c r="D1487" i="2"/>
  <c r="B951" i="2"/>
  <c r="C951" i="2" s="1"/>
  <c r="E1311" i="2"/>
  <c r="D436" i="2"/>
  <c r="D506" i="2"/>
  <c r="E310" i="2"/>
  <c r="B1224" i="2"/>
  <c r="C1224" i="2" s="1"/>
  <c r="E707" i="2"/>
  <c r="E374" i="2"/>
  <c r="E1376" i="2"/>
  <c r="D1528" i="2"/>
  <c r="B759" i="2"/>
  <c r="C759" i="2" s="1"/>
  <c r="E1237" i="2"/>
  <c r="E1577" i="2"/>
  <c r="E229" i="2"/>
  <c r="B431" i="2"/>
  <c r="C431" i="2" s="1"/>
  <c r="D254" i="2"/>
  <c r="B467" i="2"/>
  <c r="C467" i="2" s="1"/>
  <c r="E573" i="2"/>
  <c r="P605" i="2"/>
  <c r="Q605" i="2" s="1"/>
  <c r="S605" i="2" s="1"/>
  <c r="B311" i="2"/>
  <c r="C311" i="2" s="1"/>
  <c r="B1368" i="2"/>
  <c r="C1368" i="2" s="1"/>
  <c r="B340" i="2"/>
  <c r="C340" i="2" s="1"/>
  <c r="P470" i="2"/>
  <c r="Q470" i="2" s="1"/>
  <c r="S470" i="2" s="1"/>
  <c r="B279" i="2"/>
  <c r="C279" i="2" s="1"/>
  <c r="E1019" i="2"/>
  <c r="E357" i="2"/>
  <c r="B1316" i="2"/>
  <c r="C1316" i="2" s="1"/>
  <c r="P1089" i="2"/>
  <c r="Q1089" i="2" s="1"/>
  <c r="S1089" i="2" s="1"/>
  <c r="E1271" i="2"/>
  <c r="B1575" i="2"/>
  <c r="C1575" i="2" s="1"/>
  <c r="D901" i="2"/>
  <c r="B1262" i="2"/>
  <c r="C1262" i="2" s="1"/>
  <c r="B276" i="2"/>
  <c r="C276" i="2" s="1"/>
  <c r="D1604" i="2"/>
  <c r="D281" i="2"/>
  <c r="E478" i="2"/>
  <c r="P850" i="2"/>
  <c r="Q850" i="2" s="1"/>
  <c r="S850" i="2" s="1"/>
  <c r="D565" i="2"/>
  <c r="E1126" i="2"/>
  <c r="E534" i="2"/>
  <c r="E305" i="2"/>
  <c r="E948" i="2"/>
  <c r="B1045" i="2"/>
  <c r="C1045" i="2" s="1"/>
  <c r="E1046" i="2"/>
  <c r="D250" i="2"/>
  <c r="P946" i="2"/>
  <c r="Q946" i="2" s="1"/>
  <c r="S946" i="2" s="1"/>
  <c r="B410" i="2"/>
  <c r="C410" i="2" s="1"/>
  <c r="E599" i="2"/>
  <c r="E1228" i="2"/>
  <c r="E782" i="2"/>
  <c r="D876" i="2"/>
  <c r="B391" i="2"/>
  <c r="C391" i="2" s="1"/>
  <c r="B618" i="2"/>
  <c r="C618" i="2" s="1"/>
  <c r="B616" i="2"/>
  <c r="C616" i="2" s="1"/>
  <c r="E532" i="2"/>
  <c r="B755" i="2"/>
  <c r="C755" i="2" s="1"/>
  <c r="E1603" i="2"/>
  <c r="B863" i="2"/>
  <c r="C863" i="2" s="1"/>
  <c r="E930" i="2"/>
  <c r="B1024" i="2"/>
  <c r="C1024" i="2" s="1"/>
  <c r="D887" i="2"/>
  <c r="B654" i="2"/>
  <c r="C654" i="2" s="1"/>
  <c r="D1024" i="2"/>
  <c r="D1351" i="2"/>
  <c r="B792" i="2"/>
  <c r="C792" i="2" s="1"/>
  <c r="D851" i="2"/>
  <c r="E271" i="2"/>
  <c r="E443" i="2"/>
  <c r="B757" i="2"/>
  <c r="C757" i="2" s="1"/>
  <c r="D978" i="2"/>
  <c r="E1366" i="2"/>
  <c r="B328" i="2"/>
  <c r="C328" i="2" s="1"/>
  <c r="D753" i="2"/>
  <c r="B706" i="2"/>
  <c r="C706" i="2" s="1"/>
  <c r="D857" i="2"/>
  <c r="D249" i="2"/>
  <c r="E956" i="2"/>
  <c r="B500" i="2"/>
  <c r="C500" i="2" s="1"/>
  <c r="E1415" i="2"/>
  <c r="B240" i="2"/>
  <c r="C240" i="2" s="1"/>
  <c r="E520" i="2"/>
  <c r="B1237" i="2"/>
  <c r="C1237" i="2" s="1"/>
  <c r="E1538" i="2"/>
  <c r="E613" i="2"/>
  <c r="E470" i="2"/>
  <c r="D1373" i="2"/>
  <c r="D1503" i="2"/>
  <c r="E379" i="2"/>
  <c r="E1350" i="2"/>
  <c r="D444" i="2"/>
  <c r="D786" i="2"/>
  <c r="D769" i="2"/>
  <c r="E614" i="2"/>
  <c r="E1275" i="2"/>
  <c r="E790" i="2"/>
  <c r="D803" i="2"/>
  <c r="E479" i="2"/>
  <c r="E957" i="2"/>
  <c r="B1047" i="2"/>
  <c r="C1047" i="2" s="1"/>
  <c r="D1593" i="2"/>
  <c r="E1327" i="2"/>
  <c r="E1268" i="2"/>
  <c r="E1002" i="2"/>
  <c r="B1587" i="2"/>
  <c r="C1587" i="2" s="1"/>
  <c r="B419" i="2"/>
  <c r="C419" i="2" s="1"/>
  <c r="B1277" i="2"/>
  <c r="C1277" i="2" s="1"/>
  <c r="B1158" i="2"/>
  <c r="C1158" i="2" s="1"/>
  <c r="D599" i="2"/>
  <c r="E1079" i="2"/>
  <c r="B1536" i="2"/>
  <c r="C1536" i="2" s="1"/>
  <c r="D551" i="2"/>
  <c r="D1400" i="2"/>
  <c r="B1410" i="2"/>
  <c r="C1410" i="2" s="1"/>
  <c r="E302" i="2"/>
  <c r="D653" i="2"/>
  <c r="B297" i="2"/>
  <c r="C297" i="2" s="1"/>
  <c r="B1208" i="2"/>
  <c r="C1208" i="2" s="1"/>
  <c r="E364" i="2"/>
  <c r="E640" i="2"/>
  <c r="D1121" i="2"/>
  <c r="E438" i="2"/>
  <c r="P577" i="2"/>
  <c r="Q577" i="2" s="1"/>
  <c r="S577" i="2" s="1"/>
  <c r="D993" i="2"/>
  <c r="P848" i="2"/>
  <c r="Q848" i="2" s="1"/>
  <c r="S848" i="2" s="1"/>
  <c r="D714" i="2"/>
  <c r="D918" i="2"/>
  <c r="D1281" i="2"/>
  <c r="B1443" i="2"/>
  <c r="C1443" i="2" s="1"/>
  <c r="B285" i="2"/>
  <c r="C285" i="2" s="1"/>
  <c r="D1309" i="2"/>
  <c r="P509" i="2"/>
  <c r="B712" i="2"/>
  <c r="C712" i="2" s="1"/>
  <c r="E432" i="2"/>
  <c r="P1471" i="2"/>
  <c r="Q1471" i="2" s="1"/>
  <c r="S1471" i="2" s="1"/>
  <c r="V1471" i="2" s="1"/>
  <c r="D694" i="2"/>
  <c r="B1143" i="2"/>
  <c r="C1143" i="2" s="1"/>
  <c r="B1542" i="2"/>
  <c r="C1542" i="2" s="1"/>
  <c r="D1210" i="2"/>
  <c r="D586" i="2"/>
  <c r="D1241" i="2"/>
  <c r="P334" i="2"/>
  <c r="Q334" i="2" s="1"/>
  <c r="S334" i="2" s="1"/>
  <c r="B610" i="2"/>
  <c r="C610" i="2" s="1"/>
  <c r="P1470" i="2"/>
  <c r="E1004" i="2"/>
  <c r="E1011" i="2"/>
  <c r="B964" i="2"/>
  <c r="C964" i="2" s="1"/>
  <c r="D622" i="2"/>
  <c r="D1577" i="2"/>
  <c r="D1357" i="2"/>
  <c r="E1122" i="2"/>
  <c r="D239" i="2"/>
  <c r="E673" i="2"/>
  <c r="D1549" i="2"/>
  <c r="E406" i="2"/>
  <c r="B1280" i="2"/>
  <c r="C1280" i="2" s="1"/>
  <c r="B673" i="2"/>
  <c r="C673" i="2" s="1"/>
  <c r="E1297" i="2"/>
  <c r="E589" i="2"/>
  <c r="E502" i="2"/>
  <c r="P846" i="2"/>
  <c r="Q846" i="2" s="1"/>
  <c r="S846" i="2" s="1"/>
  <c r="P1481" i="2"/>
  <c r="Q1481" i="2" s="1"/>
  <c r="S1481" i="2" s="1"/>
  <c r="B787" i="2"/>
  <c r="C787" i="2" s="1"/>
  <c r="B1395" i="2"/>
  <c r="C1395" i="2" s="1"/>
  <c r="D430" i="2"/>
  <c r="B1551" i="2"/>
  <c r="C1551" i="2" s="1"/>
  <c r="E591" i="2"/>
  <c r="D1042" i="2"/>
  <c r="P1458" i="2"/>
  <c r="Q1458" i="2" s="1"/>
  <c r="S1458" i="2" s="1"/>
  <c r="E1251" i="2"/>
  <c r="E1006" i="2"/>
  <c r="D1312" i="2"/>
  <c r="B1411" i="2"/>
  <c r="C1411" i="2" s="1"/>
  <c r="P1203" i="2"/>
  <c r="Q1203" i="2" s="1"/>
  <c r="S1203" i="2" s="1"/>
  <c r="V1203" i="2" s="1"/>
  <c r="D1406" i="2"/>
  <c r="B1366" i="2"/>
  <c r="C1366" i="2" s="1"/>
  <c r="D516" i="2"/>
  <c r="D1523" i="2"/>
  <c r="B577" i="2"/>
  <c r="C577" i="2" s="1"/>
  <c r="B608" i="2"/>
  <c r="C608" i="2" s="1"/>
  <c r="B752" i="2"/>
  <c r="C752" i="2" s="1"/>
  <c r="D1397" i="2"/>
  <c r="B954" i="2"/>
  <c r="C954" i="2" s="1"/>
  <c r="D1489" i="2"/>
  <c r="B1548" i="2"/>
  <c r="C1548" i="2" s="1"/>
  <c r="B914" i="2"/>
  <c r="C914" i="2" s="1"/>
  <c r="E337" i="2"/>
  <c r="D543" i="2"/>
  <c r="E772" i="2"/>
  <c r="D1228" i="2"/>
  <c r="B445" i="2"/>
  <c r="C445" i="2" s="1"/>
  <c r="E563" i="2"/>
  <c r="E1290" i="2"/>
  <c r="B342" i="2"/>
  <c r="C342" i="2" s="1"/>
  <c r="B1161" i="2"/>
  <c r="C1161" i="2" s="1"/>
  <c r="E868" i="2"/>
  <c r="B570" i="2"/>
  <c r="C570" i="2" s="1"/>
  <c r="E653" i="2"/>
  <c r="B976" i="2"/>
  <c r="C976" i="2" s="1"/>
  <c r="B900" i="2"/>
  <c r="C900" i="2" s="1"/>
  <c r="B777" i="2"/>
  <c r="C777" i="2" s="1"/>
  <c r="E296" i="2"/>
  <c r="D431" i="2"/>
  <c r="D369" i="2"/>
  <c r="D443" i="2"/>
  <c r="E570" i="2"/>
  <c r="B1422" i="2"/>
  <c r="C1422" i="2" s="1"/>
  <c r="E1166" i="2"/>
  <c r="E265" i="2"/>
  <c r="E1314" i="2"/>
  <c r="B1012" i="2"/>
  <c r="C1012" i="2" s="1"/>
  <c r="D844" i="2"/>
  <c r="E1549" i="2"/>
  <c r="D611" i="2"/>
  <c r="E453" i="2"/>
  <c r="D1046" i="2"/>
  <c r="D1378" i="2"/>
  <c r="D1586" i="2"/>
  <c r="E720" i="2"/>
  <c r="E469" i="2"/>
  <c r="E363" i="2"/>
  <c r="D324" i="2"/>
  <c r="B1312" i="2"/>
  <c r="C1312" i="2" s="1"/>
  <c r="E981" i="2"/>
  <c r="B1427" i="2"/>
  <c r="C1427" i="2" s="1"/>
  <c r="E430" i="2"/>
  <c r="E1238" i="2"/>
  <c r="B347" i="2"/>
  <c r="C347" i="2" s="1"/>
  <c r="B906" i="2"/>
  <c r="C906" i="2" s="1"/>
  <c r="E1461" i="2"/>
  <c r="D584" i="2"/>
  <c r="E540" i="2"/>
  <c r="D226" i="2"/>
  <c r="D881" i="2"/>
  <c r="B772" i="2"/>
  <c r="C772" i="2" s="1"/>
  <c r="D1330" i="2"/>
  <c r="P1212" i="2"/>
  <c r="Q1212" i="2" s="1"/>
  <c r="S1212" i="2" s="1"/>
  <c r="P1085" i="2"/>
  <c r="D811" i="2"/>
  <c r="E1176" i="2"/>
  <c r="B1569" i="2"/>
  <c r="C1569" i="2" s="1"/>
  <c r="E529" i="2"/>
  <c r="B817" i="2"/>
  <c r="C817" i="2" s="1"/>
  <c r="D1543" i="2"/>
  <c r="E862" i="2"/>
  <c r="E245" i="2"/>
  <c r="E874" i="2"/>
  <c r="E950" i="2"/>
  <c r="B258" i="2"/>
  <c r="C258" i="2" s="1"/>
  <c r="P763" i="2"/>
  <c r="Q763" i="2" s="1"/>
  <c r="S763" i="2" s="1"/>
  <c r="B947" i="2"/>
  <c r="C947" i="2" s="1"/>
  <c r="B1225" i="2"/>
  <c r="C1225" i="2" s="1"/>
  <c r="E1276" i="2"/>
  <c r="E1423" i="2"/>
  <c r="D365" i="2"/>
  <c r="E1430" i="2"/>
  <c r="P1096" i="2"/>
  <c r="Q1096" i="2" s="1"/>
  <c r="S1096" i="2" s="1"/>
  <c r="B974" i="2"/>
  <c r="C974" i="2" s="1"/>
  <c r="D236" i="2"/>
  <c r="E965" i="2"/>
  <c r="E612" i="2"/>
  <c r="E1387" i="2"/>
  <c r="D700" i="2"/>
  <c r="B862" i="2"/>
  <c r="C862" i="2" s="1"/>
  <c r="B1048" i="2"/>
  <c r="C1048" i="2" s="1"/>
  <c r="E889" i="2"/>
  <c r="D1043" i="2"/>
  <c r="D1077" i="2"/>
  <c r="E581" i="2"/>
  <c r="B1360" i="2"/>
  <c r="C1360" i="2" s="1"/>
  <c r="E1556" i="2"/>
  <c r="B653" i="2"/>
  <c r="C653" i="2" s="1"/>
  <c r="D241" i="2"/>
  <c r="B776" i="2"/>
  <c r="C776" i="2" s="1"/>
  <c r="B779" i="2"/>
  <c r="C779" i="2" s="1"/>
  <c r="E246" i="2"/>
  <c r="B462" i="2"/>
  <c r="C462" i="2" s="1"/>
  <c r="E877" i="2"/>
  <c r="B749" i="2"/>
  <c r="C749" i="2" s="1"/>
  <c r="E558" i="2"/>
  <c r="E878" i="2"/>
  <c r="D929" i="2"/>
  <c r="E639" i="2"/>
  <c r="D1342" i="2"/>
  <c r="B254" i="2"/>
  <c r="C254" i="2" s="1"/>
  <c r="B824" i="2"/>
  <c r="C824" i="2" s="1"/>
  <c r="D1509" i="2"/>
  <c r="D1293" i="2"/>
  <c r="D311" i="2"/>
  <c r="D354" i="2"/>
  <c r="B1392" i="2"/>
  <c r="C1392" i="2" s="1"/>
  <c r="E553" i="2"/>
  <c r="B785" i="2"/>
  <c r="C785" i="2" s="1"/>
  <c r="D708" i="2"/>
  <c r="D231" i="2"/>
  <c r="E658" i="2"/>
  <c r="E605" i="2"/>
  <c r="D539" i="2"/>
  <c r="B639" i="2"/>
  <c r="C639" i="2" s="1"/>
  <c r="B586" i="2"/>
  <c r="C586" i="2" s="1"/>
  <c r="D888" i="2"/>
  <c r="E1404" i="2"/>
  <c r="D725" i="2"/>
  <c r="B520" i="2"/>
  <c r="C520" i="2" s="1"/>
  <c r="B1116" i="2"/>
  <c r="C1116" i="2" s="1"/>
  <c r="D1352" i="2"/>
  <c r="D1594" i="2"/>
  <c r="B746" i="2"/>
  <c r="C746" i="2" s="1"/>
  <c r="E1421" i="2"/>
  <c r="D245" i="2"/>
  <c r="E256" i="2"/>
  <c r="B1546" i="2"/>
  <c r="C1546" i="2" s="1"/>
  <c r="D1138" i="2"/>
  <c r="B972" i="2"/>
  <c r="C972" i="2" s="1"/>
  <c r="D650" i="2"/>
  <c r="B994" i="2"/>
  <c r="C994" i="2" s="1"/>
  <c r="D1576" i="2"/>
  <c r="E1587" i="2"/>
  <c r="D1030" i="2"/>
  <c r="D1491" i="2"/>
  <c r="D546" i="2"/>
  <c r="B1576" i="2"/>
  <c r="C1576" i="2" s="1"/>
  <c r="B1305" i="2"/>
  <c r="C1305" i="2" s="1"/>
  <c r="E435" i="2"/>
  <c r="E1031" i="2"/>
  <c r="P1322" i="2"/>
  <c r="Q1322" i="2" s="1"/>
  <c r="S1322" i="2" s="1"/>
  <c r="D646" i="2"/>
  <c r="E572" i="2"/>
  <c r="P1323" i="2"/>
  <c r="Q1323" i="2" s="1"/>
  <c r="S1323" i="2" s="1"/>
  <c r="B861" i="2"/>
  <c r="C861" i="2" s="1"/>
  <c r="E625" i="2"/>
  <c r="E287" i="2"/>
  <c r="E801" i="2"/>
  <c r="D278" i="2"/>
  <c r="E710" i="2"/>
  <c r="E459" i="2"/>
  <c r="D255" i="2"/>
  <c r="B527" i="2"/>
  <c r="C527" i="2" s="1"/>
  <c r="D509" i="2"/>
  <c r="D1572" i="2"/>
  <c r="P887" i="2"/>
  <c r="Q887" i="2" s="1"/>
  <c r="S887" i="2" s="1"/>
  <c r="P491" i="2"/>
  <c r="Q491" i="2" s="1"/>
  <c r="S491" i="2" s="1"/>
  <c r="E376" i="2"/>
  <c r="D789" i="2"/>
  <c r="D1119" i="2"/>
  <c r="E300" i="2"/>
  <c r="D975" i="2"/>
  <c r="B526" i="2"/>
  <c r="C526" i="2" s="1"/>
  <c r="E751" i="2"/>
  <c r="B333" i="2"/>
  <c r="C333" i="2" s="1"/>
  <c r="B1248" i="2"/>
  <c r="C1248" i="2" s="1"/>
  <c r="E1245" i="2"/>
  <c r="D1516" i="2"/>
  <c r="E708" i="2"/>
  <c r="B345" i="2"/>
  <c r="C345" i="2" s="1"/>
  <c r="E1069" i="2"/>
  <c r="B671" i="2"/>
  <c r="C671" i="2" s="1"/>
  <c r="B458" i="2"/>
  <c r="C458" i="2" s="1"/>
  <c r="E1260" i="2"/>
  <c r="D1120" i="2"/>
  <c r="D1096" i="2"/>
  <c r="E461" i="2"/>
  <c r="E755" i="2"/>
  <c r="D670" i="2"/>
  <c r="D1047" i="2"/>
  <c r="P295" i="2"/>
  <c r="B1579" i="2"/>
  <c r="C1579" i="2" s="1"/>
  <c r="B473" i="2"/>
  <c r="C473" i="2" s="1"/>
  <c r="B890" i="2"/>
  <c r="C890" i="2" s="1"/>
  <c r="B495" i="2"/>
  <c r="C495" i="2" s="1"/>
  <c r="D674" i="2"/>
  <c r="P1264" i="2"/>
  <c r="Q1264" i="2" s="1"/>
  <c r="S1264" i="2" s="1"/>
  <c r="V1264" i="2" s="1"/>
  <c r="E1036" i="2"/>
  <c r="E661" i="2"/>
  <c r="D1582" i="2"/>
  <c r="D1412" i="2"/>
  <c r="D248" i="2"/>
  <c r="E749" i="2"/>
  <c r="E848" i="2"/>
  <c r="D437" i="2"/>
  <c r="E1208" i="2"/>
  <c r="D307" i="2"/>
  <c r="B267" i="2"/>
  <c r="C267" i="2" s="1"/>
  <c r="D533" i="2"/>
  <c r="D562" i="2"/>
  <c r="D980" i="2"/>
  <c r="D1122" i="2"/>
  <c r="B324" i="2"/>
  <c r="C324" i="2" s="1"/>
  <c r="E945" i="2"/>
  <c r="E458" i="2"/>
  <c r="E1557" i="2"/>
  <c r="E1364" i="2"/>
  <c r="B711" i="2"/>
  <c r="C711" i="2" s="1"/>
  <c r="D589" i="2"/>
  <c r="D882" i="2"/>
  <c r="D1522" i="2"/>
  <c r="D1128" i="2"/>
  <c r="B876" i="2"/>
  <c r="C876" i="2" s="1"/>
  <c r="B317" i="2"/>
  <c r="C317" i="2" s="1"/>
  <c r="E1077" i="2"/>
  <c r="D1571" i="2"/>
  <c r="D1495" i="2"/>
  <c r="B922" i="2"/>
  <c r="C922" i="2" s="1"/>
  <c r="B246" i="2"/>
  <c r="C246" i="2" s="1"/>
  <c r="D842" i="2"/>
  <c r="D420" i="2"/>
  <c r="E699" i="2"/>
  <c r="B1570" i="2"/>
  <c r="C1570" i="2" s="1"/>
  <c r="D1316" i="2"/>
  <c r="B1492" i="2"/>
  <c r="C1492" i="2" s="1"/>
  <c r="E1592" i="2"/>
  <c r="B852" i="2"/>
  <c r="C852" i="2" s="1"/>
  <c r="E809" i="2"/>
  <c r="E1338" i="2"/>
  <c r="E466" i="2"/>
  <c r="B738" i="2"/>
  <c r="C738" i="2" s="1"/>
  <c r="D353" i="2"/>
  <c r="E485" i="2"/>
  <c r="D734" i="2"/>
  <c r="B450" i="2"/>
  <c r="C450" i="2" s="1"/>
  <c r="E1214" i="2"/>
  <c r="B1186" i="2"/>
  <c r="C1186" i="2" s="1"/>
  <c r="D1418" i="2"/>
  <c r="E823" i="2"/>
  <c r="E993" i="2"/>
  <c r="D636" i="2"/>
  <c r="D1534" i="2"/>
  <c r="E825" i="2"/>
  <c r="E365" i="2"/>
  <c r="B409" i="2"/>
  <c r="C409" i="2" s="1"/>
  <c r="D234" i="2"/>
  <c r="B778" i="2"/>
  <c r="C778" i="2" s="1"/>
  <c r="D686" i="2"/>
  <c r="B1101" i="2"/>
  <c r="C1101" i="2" s="1"/>
  <c r="D550" i="2"/>
  <c r="B1121" i="2"/>
  <c r="C1121" i="2" s="1"/>
  <c r="E369" i="2"/>
  <c r="B1194" i="2"/>
  <c r="C1194" i="2" s="1"/>
  <c r="D755" i="2"/>
  <c r="E1184" i="2"/>
  <c r="D1249" i="2"/>
  <c r="P626" i="2"/>
  <c r="Q626" i="2" s="1"/>
  <c r="S626" i="2" s="1"/>
  <c r="D1506" i="2"/>
  <c r="D1258" i="2"/>
  <c r="B483" i="2"/>
  <c r="C483" i="2" s="1"/>
  <c r="B1137" i="2"/>
  <c r="C1137" i="2" s="1"/>
  <c r="B1100" i="2"/>
  <c r="C1100" i="2" s="1"/>
  <c r="E355" i="2"/>
  <c r="P792" i="2"/>
  <c r="Q792" i="2" s="1"/>
  <c r="S792" i="2" s="1"/>
  <c r="P574" i="2"/>
  <c r="Q574" i="2" s="1"/>
  <c r="S574" i="2" s="1"/>
  <c r="E1435" i="2"/>
  <c r="D1144" i="2"/>
  <c r="D1105" i="2"/>
  <c r="D1579" i="2"/>
  <c r="E899" i="2"/>
  <c r="D1214" i="2"/>
  <c r="D985" i="2"/>
  <c r="E1433" i="2"/>
  <c r="D757" i="2"/>
  <c r="D511" i="2"/>
  <c r="P1514" i="2"/>
  <c r="Q1514" i="2" s="1"/>
  <c r="S1514" i="2" s="1"/>
  <c r="V1514" i="2" s="1"/>
  <c r="B1378" i="2"/>
  <c r="C1378" i="2" s="1"/>
  <c r="B1563" i="2"/>
  <c r="C1563" i="2" s="1"/>
  <c r="D701" i="2"/>
  <c r="D835" i="2"/>
  <c r="D332" i="2"/>
  <c r="P867" i="2"/>
  <c r="Q867" i="2" s="1"/>
  <c r="S867" i="2" s="1"/>
  <c r="E667" i="2"/>
  <c r="E698" i="2"/>
  <c r="P839" i="2"/>
  <c r="Q839" i="2" s="1"/>
  <c r="S839" i="2" s="1"/>
  <c r="E523" i="2"/>
  <c r="B383" i="2"/>
  <c r="C383" i="2" s="1"/>
  <c r="B1473" i="2"/>
  <c r="C1473" i="2" s="1"/>
  <c r="E1239" i="2"/>
  <c r="B453" i="2"/>
  <c r="C453" i="2" s="1"/>
  <c r="B1296" i="2"/>
  <c r="C1296" i="2" s="1"/>
  <c r="E1341" i="2"/>
  <c r="E1369" i="2"/>
  <c r="B1053" i="2"/>
  <c r="C1053" i="2" s="1"/>
  <c r="B442" i="2"/>
  <c r="C442" i="2" s="1"/>
  <c r="E1583" i="2"/>
  <c r="E705" i="2"/>
  <c r="B522" i="2"/>
  <c r="C522" i="2" s="1"/>
  <c r="B597" i="2"/>
  <c r="C597" i="2" s="1"/>
  <c r="B1086" i="2"/>
  <c r="C1086" i="2" s="1"/>
  <c r="D1560" i="2"/>
  <c r="B1173" i="2"/>
  <c r="C1173" i="2" s="1"/>
  <c r="B1140" i="2"/>
  <c r="C1140" i="2" s="1"/>
  <c r="E356" i="2"/>
  <c r="B1079" i="2"/>
  <c r="C1079" i="2" s="1"/>
  <c r="B1042" i="2"/>
  <c r="C1042" i="2" s="1"/>
  <c r="B1408" i="2"/>
  <c r="C1408" i="2" s="1"/>
  <c r="E914" i="2"/>
  <c r="B949" i="2"/>
  <c r="C949" i="2" s="1"/>
  <c r="E1419" i="2"/>
  <c r="D1581" i="2"/>
  <c r="B1322" i="2"/>
  <c r="C1322" i="2" s="1"/>
  <c r="E404" i="2"/>
  <c r="D1459" i="2"/>
  <c r="D1527" i="2"/>
  <c r="D1592" i="2"/>
  <c r="D358" i="2"/>
  <c r="D906" i="2"/>
  <c r="E1500" i="2"/>
  <c r="B1136" i="2"/>
  <c r="C1136" i="2" s="1"/>
  <c r="D1327" i="2"/>
  <c r="D732" i="2"/>
  <c r="E1080" i="2"/>
  <c r="B781" i="2"/>
  <c r="C781" i="2" s="1"/>
  <c r="B1183" i="2"/>
  <c r="C1183" i="2" s="1"/>
  <c r="D988" i="2"/>
  <c r="B1571" i="2"/>
  <c r="C1571" i="2" s="1"/>
  <c r="E1528" i="2"/>
  <c r="D696" i="2"/>
  <c r="E921" i="2"/>
  <c r="B1478" i="2"/>
  <c r="C1478" i="2" s="1"/>
  <c r="D1441" i="2"/>
  <c r="B407" i="2"/>
  <c r="C407" i="2" s="1"/>
  <c r="E1570" i="2"/>
  <c r="B1476" i="2"/>
  <c r="C1476" i="2" s="1"/>
  <c r="B1014" i="2"/>
  <c r="C1014" i="2" s="1"/>
  <c r="E1179" i="2"/>
  <c r="B723" i="2"/>
  <c r="C723" i="2" s="1"/>
  <c r="B358" i="2"/>
  <c r="C358" i="2" s="1"/>
  <c r="B583" i="2"/>
  <c r="C583" i="2" s="1"/>
  <c r="B1202" i="2"/>
  <c r="C1202" i="2" s="1"/>
  <c r="D572" i="2"/>
  <c r="E902" i="2"/>
  <c r="B371" i="2"/>
  <c r="C371" i="2" s="1"/>
  <c r="D695" i="2"/>
  <c r="D1172" i="2"/>
  <c r="B1246" i="2"/>
  <c r="C1246" i="2" s="1"/>
  <c r="E513" i="2"/>
  <c r="D450" i="2"/>
  <c r="E349" i="2"/>
  <c r="B1178" i="2"/>
  <c r="C1178" i="2" s="1"/>
  <c r="B236" i="2"/>
  <c r="C236" i="2" s="1"/>
  <c r="E1425" i="2"/>
  <c r="P228" i="2"/>
  <c r="Q228" i="2" s="1"/>
  <c r="S228" i="2" s="1"/>
  <c r="E688" i="2"/>
  <c r="E247" i="2"/>
  <c r="E999" i="2"/>
  <c r="B745" i="2"/>
  <c r="C745" i="2" s="1"/>
  <c r="E1045" i="2"/>
  <c r="E910" i="2"/>
  <c r="D577" i="2"/>
  <c r="B889" i="2"/>
  <c r="C889" i="2" s="1"/>
  <c r="B1233" i="2"/>
  <c r="C1233" i="2" s="1"/>
  <c r="E1148" i="2"/>
  <c r="D719" i="2"/>
  <c r="P528" i="2"/>
  <c r="D362" i="2"/>
  <c r="B1120" i="2"/>
  <c r="C1120" i="2" s="1"/>
  <c r="B1481" i="2"/>
  <c r="C1481" i="2" s="1"/>
  <c r="E1257" i="2"/>
  <c r="B1098" i="2"/>
  <c r="C1098" i="2" s="1"/>
  <c r="E1138" i="2"/>
  <c r="D1600" i="2"/>
  <c r="E590" i="2"/>
  <c r="E1057" i="2"/>
  <c r="B594" i="2"/>
  <c r="C594" i="2" s="1"/>
  <c r="B1321" i="2"/>
  <c r="C1321" i="2" s="1"/>
  <c r="B581" i="2"/>
  <c r="C581" i="2" s="1"/>
  <c r="D970" i="2"/>
  <c r="D737" i="2"/>
  <c r="B1416" i="2"/>
  <c r="C1416" i="2" s="1"/>
  <c r="E465" i="2"/>
  <c r="B368" i="2"/>
  <c r="C368" i="2" s="1"/>
  <c r="B1001" i="2"/>
  <c r="C1001" i="2" s="1"/>
  <c r="P1472" i="2"/>
  <c r="Q1472" i="2" s="1"/>
  <c r="S1472" i="2" s="1"/>
  <c r="E515" i="2"/>
  <c r="E1442" i="2"/>
  <c r="B662" i="2"/>
  <c r="C662" i="2" s="1"/>
  <c r="D266" i="2"/>
  <c r="E832" i="2"/>
  <c r="E1205" i="2"/>
  <c r="D691" i="2"/>
  <c r="D334" i="2"/>
  <c r="P332" i="2"/>
  <c r="B226" i="2"/>
  <c r="C226" i="2" s="1"/>
  <c r="E800" i="2"/>
  <c r="B405" i="2"/>
  <c r="C405" i="2" s="1"/>
  <c r="B1526" i="2"/>
  <c r="C1526" i="2" s="1"/>
  <c r="B591" i="2"/>
  <c r="C591" i="2" s="1"/>
  <c r="D1436" i="2"/>
  <c r="B668" i="2"/>
  <c r="C668" i="2" s="1"/>
  <c r="B1257" i="2"/>
  <c r="C1257" i="2" s="1"/>
  <c r="D1343" i="2"/>
  <c r="B948" i="2"/>
  <c r="C948" i="2" s="1"/>
  <c r="B1026" i="2"/>
  <c r="C1026" i="2" s="1"/>
  <c r="B1421" i="2"/>
  <c r="C1421" i="2" s="1"/>
  <c r="B1496" i="2"/>
  <c r="C1496" i="2" s="1"/>
  <c r="B816" i="2"/>
  <c r="C816" i="2" s="1"/>
  <c r="D1299" i="2"/>
  <c r="D1335" i="2"/>
  <c r="D1259" i="2"/>
  <c r="B1041" i="2"/>
  <c r="C1041" i="2" s="1"/>
  <c r="E512" i="2"/>
  <c r="B1182" i="2"/>
  <c r="C1182" i="2" s="1"/>
  <c r="P853" i="2"/>
  <c r="Q853" i="2" s="1"/>
  <c r="S853" i="2" s="1"/>
  <c r="E1115" i="2"/>
  <c r="D1574" i="2"/>
  <c r="D990" i="2"/>
  <c r="B932" i="2"/>
  <c r="C932" i="2" s="1"/>
  <c r="B470" i="2"/>
  <c r="C470" i="2" s="1"/>
  <c r="D1162" i="2"/>
  <c r="D1165" i="2"/>
  <c r="E982" i="2"/>
  <c r="D1508" i="2"/>
  <c r="E285" i="2"/>
  <c r="D640" i="2"/>
  <c r="E1576" i="2"/>
  <c r="D294" i="2"/>
  <c r="E1234" i="2"/>
  <c r="B1250" i="2"/>
  <c r="C1250" i="2" s="1"/>
  <c r="E1391" i="2"/>
  <c r="B1111" i="2"/>
  <c r="C1111" i="2" s="1"/>
  <c r="B1069" i="2"/>
  <c r="C1069" i="2" s="1"/>
  <c r="D1421" i="2"/>
  <c r="D1590" i="2"/>
  <c r="B1005" i="2"/>
  <c r="C1005" i="2" s="1"/>
  <c r="D575" i="2"/>
  <c r="D513" i="2"/>
  <c r="D371" i="2"/>
  <c r="D957" i="2"/>
  <c r="E387" i="2"/>
  <c r="B1441" i="2"/>
  <c r="C1441" i="2" s="1"/>
  <c r="D909" i="2"/>
  <c r="D1318" i="2"/>
  <c r="B1211" i="2"/>
  <c r="C1211" i="2" s="1"/>
  <c r="B1437" i="2"/>
  <c r="C1437" i="2" s="1"/>
  <c r="E350" i="2"/>
  <c r="B1085" i="2"/>
  <c r="C1085" i="2" s="1"/>
  <c r="D1107" i="2"/>
  <c r="B1302" i="2"/>
  <c r="C1302" i="2" s="1"/>
  <c r="D1175" i="2"/>
  <c r="D1005" i="2"/>
  <c r="B708" i="2"/>
  <c r="C708" i="2" s="1"/>
  <c r="D401" i="2"/>
  <c r="B1034" i="2"/>
  <c r="C1034" i="2" s="1"/>
  <c r="B1037" i="2"/>
  <c r="C1037" i="2" s="1"/>
  <c r="B1243" i="2"/>
  <c r="C1243" i="2" s="1"/>
  <c r="E1071" i="2"/>
  <c r="B406" i="2"/>
  <c r="C406" i="2" s="1"/>
  <c r="E1149" i="2"/>
  <c r="B1214" i="2"/>
  <c r="C1214" i="2" s="1"/>
  <c r="D235" i="2"/>
  <c r="E1258" i="2"/>
  <c r="P1209" i="2"/>
  <c r="Q1209" i="2" s="1"/>
  <c r="S1209" i="2" s="1"/>
  <c r="V1209" i="2" s="1"/>
  <c r="D500" i="2"/>
  <c r="B676" i="2"/>
  <c r="C676" i="2" s="1"/>
  <c r="B833" i="2"/>
  <c r="C833" i="2" s="1"/>
  <c r="E1569" i="2"/>
  <c r="D1235" i="2"/>
  <c r="B657" i="2"/>
  <c r="C657" i="2" s="1"/>
  <c r="P1274" i="2"/>
  <c r="Q1274" i="2" s="1"/>
  <c r="S1274" i="2" s="1"/>
  <c r="V1274" i="2" s="1"/>
  <c r="D561" i="2"/>
  <c r="E585" i="2"/>
  <c r="D873" i="2"/>
  <c r="E767" i="2"/>
  <c r="D1010" i="2"/>
  <c r="E1081" i="2"/>
  <c r="D1220" i="2"/>
  <c r="D503" i="2"/>
  <c r="P646" i="2"/>
  <c r="D489" i="2"/>
  <c r="P340" i="2"/>
  <c r="D498" i="2"/>
  <c r="D747" i="2"/>
  <c r="E1328" i="2"/>
  <c r="B763" i="2"/>
  <c r="C763" i="2" s="1"/>
  <c r="D1000" i="2"/>
  <c r="B969" i="2"/>
  <c r="C969" i="2" s="1"/>
  <c r="P789" i="2"/>
  <c r="B557" i="2"/>
  <c r="C557" i="2" s="1"/>
  <c r="B1021" i="2"/>
  <c r="C1021" i="2" s="1"/>
  <c r="D1295" i="2"/>
  <c r="E1090" i="2"/>
  <c r="D582" i="2"/>
  <c r="B582" i="2"/>
  <c r="C582" i="2" s="1"/>
  <c r="E617" i="2"/>
  <c r="E1200" i="2"/>
  <c r="D1277" i="2"/>
  <c r="B825" i="2"/>
  <c r="C825" i="2" s="1"/>
  <c r="B1068" i="2"/>
  <c r="C1068" i="2" s="1"/>
  <c r="B584" i="2"/>
  <c r="C584" i="2" s="1"/>
  <c r="E1070" i="2"/>
  <c r="B395" i="2"/>
  <c r="C395" i="2" s="1"/>
  <c r="E1053" i="2"/>
  <c r="D1494" i="2"/>
  <c r="E1222" i="2"/>
  <c r="D762" i="2"/>
  <c r="B596" i="2"/>
  <c r="C596" i="2" s="1"/>
  <c r="B592" i="2"/>
  <c r="C592" i="2" s="1"/>
  <c r="D268" i="2"/>
  <c r="D341" i="2"/>
  <c r="D479" i="2"/>
  <c r="D580" i="2"/>
  <c r="E467" i="2"/>
  <c r="D1324" i="2"/>
  <c r="E915" i="2"/>
  <c r="D1238" i="2"/>
  <c r="D464" i="2"/>
  <c r="E1262" i="2"/>
  <c r="D722" i="2"/>
  <c r="D398" i="2"/>
  <c r="E1534" i="2"/>
  <c r="E294" i="2"/>
  <c r="E1573" i="2"/>
  <c r="D1552" i="2"/>
  <c r="E1544" i="2"/>
  <c r="B1490" i="2"/>
  <c r="C1490" i="2" s="1"/>
  <c r="B796" i="2"/>
  <c r="C796" i="2" s="1"/>
  <c r="E778" i="2"/>
  <c r="B492" i="2"/>
  <c r="C492" i="2" s="1"/>
  <c r="D569" i="2"/>
  <c r="E1554" i="2"/>
  <c r="E865" i="2"/>
  <c r="D1322" i="2"/>
  <c r="D487" i="2"/>
  <c r="B998" i="2"/>
  <c r="C998" i="2" s="1"/>
  <c r="E503" i="2"/>
  <c r="E689" i="2"/>
  <c r="B598" i="2"/>
  <c r="C598" i="2" s="1"/>
  <c r="E1457" i="2"/>
  <c r="B1572" i="2"/>
  <c r="C1572" i="2" s="1"/>
  <c r="D269" i="2"/>
  <c r="B705" i="2"/>
  <c r="C705" i="2" s="1"/>
  <c r="D1181" i="2"/>
  <c r="D536" i="2"/>
  <c r="D846" i="2"/>
  <c r="B241" i="2"/>
  <c r="C241" i="2" s="1"/>
  <c r="D1056" i="2"/>
  <c r="D1431" i="2"/>
  <c r="B1440" i="2"/>
  <c r="C1440" i="2" s="1"/>
  <c r="D1261" i="2"/>
  <c r="D1524" i="2"/>
  <c r="B1242" i="2"/>
  <c r="C1242" i="2" s="1"/>
  <c r="B1330" i="2"/>
  <c r="C1330" i="2" s="1"/>
  <c r="E493" i="2"/>
  <c r="E555" i="2"/>
  <c r="D1134" i="2"/>
  <c r="P578" i="2"/>
  <c r="Q578" i="2" s="1"/>
  <c r="S578" i="2" s="1"/>
  <c r="P1482" i="2"/>
  <c r="Q1482" i="2" s="1"/>
  <c r="S1482" i="2" s="1"/>
  <c r="D461" i="2"/>
  <c r="D342" i="2"/>
  <c r="B283" i="2"/>
  <c r="C283" i="2" s="1"/>
  <c r="D466" i="2"/>
  <c r="P1455" i="2"/>
  <c r="Q1455" i="2" s="1"/>
  <c r="S1455" i="2" s="1"/>
  <c r="B839" i="2"/>
  <c r="C839" i="2" s="1"/>
  <c r="E393" i="2"/>
  <c r="D720" i="2"/>
  <c r="E316" i="2"/>
  <c r="B1519" i="2"/>
  <c r="C1519" i="2" s="1"/>
  <c r="B1223" i="2"/>
  <c r="C1223" i="2" s="1"/>
  <c r="B968" i="2"/>
  <c r="C968" i="2" s="1"/>
  <c r="B1445" i="2"/>
  <c r="C1445" i="2" s="1"/>
  <c r="E566" i="2"/>
  <c r="E799" i="2"/>
  <c r="B1199" i="2"/>
  <c r="C1199" i="2" s="1"/>
  <c r="D631" i="2"/>
  <c r="E1385" i="2"/>
  <c r="D643" i="2"/>
  <c r="B1054" i="2"/>
  <c r="C1054" i="2" s="1"/>
  <c r="B1325" i="2"/>
  <c r="C1325" i="2" s="1"/>
  <c r="D1141" i="2"/>
  <c r="D1402" i="2"/>
  <c r="E1388" i="2"/>
  <c r="D374" i="2"/>
  <c r="B893" i="2"/>
  <c r="C893" i="2" s="1"/>
  <c r="E1511" i="2"/>
  <c r="D1225" i="2"/>
  <c r="D1137" i="2"/>
  <c r="E281" i="2"/>
  <c r="B701" i="2"/>
  <c r="C701" i="2" s="1"/>
  <c r="P1079" i="2"/>
  <c r="Q1079" i="2" s="1"/>
  <c r="S1079" i="2" s="1"/>
  <c r="E1095" i="2"/>
  <c r="B437" i="2"/>
  <c r="C437" i="2" s="1"/>
  <c r="E1510" i="2"/>
  <c r="E1558" i="2"/>
  <c r="E816" i="2"/>
  <c r="B965" i="2"/>
  <c r="C965" i="2" s="1"/>
  <c r="E352" i="2"/>
  <c r="E1550" i="2"/>
  <c r="D478" i="2"/>
  <c r="E1301" i="2"/>
  <c r="E517" i="2"/>
  <c r="E1106" i="2"/>
  <c r="B1204" i="2"/>
  <c r="C1204" i="2" s="1"/>
  <c r="B1425" i="2"/>
  <c r="C1425" i="2" s="1"/>
  <c r="D462" i="2"/>
  <c r="D1566" i="2"/>
  <c r="D1248" i="2"/>
  <c r="E388" i="2"/>
  <c r="E1585" i="2"/>
  <c r="E966" i="2"/>
  <c r="B843" i="2"/>
  <c r="C843" i="2" s="1"/>
  <c r="E1196" i="2"/>
  <c r="E565" i="2"/>
  <c r="D713" i="2"/>
  <c r="B1534" i="2"/>
  <c r="C1534" i="2" s="1"/>
  <c r="E998" i="2"/>
  <c r="B1218" i="2"/>
  <c r="C1218" i="2" s="1"/>
  <c r="B497" i="2"/>
  <c r="C497" i="2" s="1"/>
  <c r="B579" i="2"/>
  <c r="C579" i="2" s="1"/>
  <c r="D838" i="2"/>
  <c r="E1283" i="2"/>
  <c r="D1297" i="2"/>
  <c r="B434" i="2"/>
  <c r="C434" i="2" s="1"/>
  <c r="D1448" i="2"/>
  <c r="E844" i="2"/>
  <c r="E546" i="2"/>
  <c r="D897" i="2"/>
  <c r="D941" i="2"/>
  <c r="E549" i="2"/>
  <c r="D1345" i="2"/>
  <c r="D1512" i="2"/>
  <c r="D966" i="2"/>
  <c r="E1152" i="2"/>
  <c r="B630" i="2"/>
  <c r="C630" i="2" s="1"/>
  <c r="B1051" i="2"/>
  <c r="C1051" i="2" s="1"/>
  <c r="E769" i="2"/>
  <c r="B378" i="2"/>
  <c r="C378" i="2" s="1"/>
  <c r="P333" i="2"/>
  <c r="Q333" i="2" s="1"/>
  <c r="S333" i="2" s="1"/>
  <c r="B1015" i="2"/>
  <c r="C1015" i="2" s="1"/>
  <c r="B576" i="2"/>
  <c r="C576" i="2" s="1"/>
  <c r="D473" i="2"/>
  <c r="D1039" i="2"/>
  <c r="D937" i="2"/>
  <c r="D445" i="2"/>
  <c r="D1279" i="2"/>
  <c r="D531" i="2"/>
  <c r="B674" i="2"/>
  <c r="C674" i="2" s="1"/>
  <c r="D331" i="2"/>
  <c r="B604" i="2"/>
  <c r="C604" i="2" s="1"/>
  <c r="B1357" i="2"/>
  <c r="C1357" i="2" s="1"/>
  <c r="B892" i="2"/>
  <c r="C892" i="2" s="1"/>
  <c r="D1602" i="2"/>
  <c r="E994" i="2"/>
  <c r="B1397" i="2"/>
  <c r="C1397" i="2" s="1"/>
  <c r="B338" i="2"/>
  <c r="C338" i="2" s="1"/>
  <c r="E505" i="2"/>
  <c r="B1333" i="2"/>
  <c r="C1333" i="2" s="1"/>
  <c r="E900" i="2"/>
  <c r="E853" i="2"/>
  <c r="E732" i="2"/>
  <c r="E1135" i="2"/>
  <c r="E1013" i="2"/>
  <c r="B532" i="2"/>
  <c r="C532" i="2" s="1"/>
  <c r="P344" i="2"/>
  <c r="Q344" i="2" s="1"/>
  <c r="S344" i="2" s="1"/>
  <c r="D1027" i="2"/>
  <c r="E820" i="2"/>
  <c r="E1220" i="2"/>
  <c r="E1075" i="2"/>
  <c r="B1122" i="2"/>
  <c r="C1122" i="2" s="1"/>
  <c r="E454" i="2"/>
  <c r="B645" i="2"/>
  <c r="C645" i="2" s="1"/>
  <c r="B735" i="2"/>
  <c r="C735" i="2" s="1"/>
  <c r="D519" i="2"/>
  <c r="E1153" i="2"/>
  <c r="E405" i="2"/>
  <c r="B487" i="2"/>
  <c r="C487" i="2" s="1"/>
  <c r="D953" i="2"/>
  <c r="E1064" i="2"/>
  <c r="B370" i="2"/>
  <c r="C370" i="2" s="1"/>
  <c r="D910" i="2"/>
  <c r="D1587" i="2"/>
  <c r="E398" i="2"/>
  <c r="D1115" i="2"/>
  <c r="E278" i="2"/>
  <c r="P899" i="2"/>
  <c r="Q899" i="2" s="1"/>
  <c r="S899" i="2" s="1"/>
  <c r="P1283" i="2"/>
  <c r="Q1283" i="2" s="1"/>
  <c r="S1283" i="2" s="1"/>
  <c r="V1283" i="2" s="1"/>
  <c r="D499" i="2"/>
  <c r="D1091" i="2"/>
  <c r="B1146" i="2"/>
  <c r="C1146" i="2" s="1"/>
  <c r="D1202" i="2"/>
  <c r="B1399" i="2"/>
  <c r="C1399" i="2" s="1"/>
  <c r="E1437" i="2"/>
  <c r="E1295" i="2"/>
  <c r="D261" i="2"/>
  <c r="E1401" i="2"/>
  <c r="B1480" i="2"/>
  <c r="C1480" i="2" s="1"/>
  <c r="E522" i="2"/>
  <c r="E266" i="2"/>
  <c r="B1171" i="2"/>
  <c r="C1171" i="2" s="1"/>
  <c r="B421" i="2"/>
  <c r="C421" i="2" s="1"/>
  <c r="E309" i="2"/>
  <c r="B1537" i="2"/>
  <c r="C1537" i="2" s="1"/>
  <c r="B1164" i="2"/>
  <c r="C1164" i="2" s="1"/>
  <c r="D705" i="2"/>
  <c r="D382" i="2"/>
  <c r="B834" i="2"/>
  <c r="C834" i="2" s="1"/>
  <c r="E803" i="2"/>
  <c r="E323" i="2"/>
  <c r="E1509" i="2"/>
  <c r="B332" i="2"/>
  <c r="C332" i="2" s="1"/>
  <c r="D678" i="2"/>
  <c r="B365" i="2"/>
  <c r="C365" i="2" s="1"/>
  <c r="E920" i="2"/>
  <c r="B1309" i="2"/>
  <c r="C1309" i="2" s="1"/>
  <c r="B359" i="2"/>
  <c r="C359" i="2" s="1"/>
  <c r="D325" i="2"/>
  <c r="E544" i="2"/>
  <c r="D934" i="2"/>
  <c r="E1198" i="2"/>
  <c r="E1499" i="2"/>
  <c r="E1438" i="2"/>
  <c r="D787" i="2"/>
  <c r="E789" i="2"/>
  <c r="E295" i="2"/>
  <c r="D1585" i="2"/>
  <c r="E1040" i="2"/>
  <c r="B1332" i="2"/>
  <c r="C1332" i="2" s="1"/>
  <c r="D363" i="2"/>
  <c r="B1073" i="2"/>
  <c r="C1073" i="2" s="1"/>
  <c r="D655" i="2"/>
  <c r="E1063" i="2"/>
  <c r="D485" i="2"/>
  <c r="D1188" i="2"/>
  <c r="E1209" i="2"/>
  <c r="B336" i="2"/>
  <c r="C336" i="2" s="1"/>
  <c r="E1093" i="2"/>
  <c r="D1599" i="2"/>
  <c r="E924" i="2"/>
  <c r="E403" i="2"/>
  <c r="D1274" i="2"/>
  <c r="E903" i="2"/>
  <c r="D797" i="2"/>
  <c r="D607" i="2"/>
  <c r="E500" i="2"/>
  <c r="E1274" i="2"/>
  <c r="E224" i="2"/>
  <c r="B1306" i="2"/>
  <c r="C1306" i="2" s="1"/>
  <c r="B794" i="2"/>
  <c r="C794" i="2" s="1"/>
  <c r="B457" i="2"/>
  <c r="C457" i="2" s="1"/>
  <c r="E433" i="2"/>
  <c r="D1215" i="2"/>
  <c r="B1244" i="2"/>
  <c r="C1244" i="2" s="1"/>
  <c r="D1416" i="2"/>
  <c r="B740" i="2"/>
  <c r="C740" i="2" s="1"/>
  <c r="D1269" i="2"/>
  <c r="E780" i="2"/>
  <c r="B1039" i="2"/>
  <c r="C1039" i="2" s="1"/>
  <c r="B850" i="2"/>
  <c r="C850" i="2" s="1"/>
  <c r="D1230" i="2"/>
  <c r="E594" i="2"/>
  <c r="B982" i="2"/>
  <c r="C982" i="2" s="1"/>
  <c r="D1390" i="2"/>
  <c r="E233" i="2"/>
  <c r="E646" i="2"/>
  <c r="D788" i="2"/>
  <c r="E1167" i="2"/>
  <c r="D1126" i="2"/>
  <c r="E1436" i="2"/>
  <c r="D227" i="2"/>
  <c r="B1403" i="2"/>
  <c r="C1403" i="2" s="1"/>
  <c r="B600" i="2"/>
  <c r="C600" i="2" s="1"/>
  <c r="E1394" i="2"/>
  <c r="E693" i="2"/>
  <c r="B394" i="2"/>
  <c r="C394" i="2" s="1"/>
  <c r="D733" i="2"/>
  <c r="B978" i="2"/>
  <c r="C978" i="2" s="1"/>
  <c r="E662" i="2"/>
  <c r="B590" i="2"/>
  <c r="C590" i="2" s="1"/>
  <c r="B1112" i="2"/>
  <c r="C1112" i="2" s="1"/>
  <c r="D850" i="2"/>
  <c r="E1086" i="2"/>
  <c r="P348" i="2"/>
  <c r="Q348" i="2" s="1"/>
  <c r="S348" i="2" s="1"/>
  <c r="B503" i="2"/>
  <c r="C503" i="2" s="1"/>
  <c r="B1592" i="2"/>
  <c r="C1592" i="2" s="1"/>
  <c r="D1035" i="2"/>
  <c r="D1332" i="2"/>
  <c r="E276" i="2"/>
  <c r="B679" i="2"/>
  <c r="C679" i="2" s="1"/>
  <c r="E962" i="2"/>
  <c r="D856" i="2"/>
  <c r="P1348" i="2"/>
  <c r="Q1348" i="2" s="1"/>
  <c r="S1348" i="2" s="1"/>
  <c r="P1051" i="2"/>
  <c r="Q1051" i="2" s="1"/>
  <c r="S1051" i="2" s="1"/>
  <c r="E1244" i="2"/>
  <c r="E1128" i="2"/>
  <c r="D1477" i="2"/>
  <c r="B322" i="2"/>
  <c r="C322" i="2" s="1"/>
  <c r="E1514" i="2"/>
  <c r="E324" i="2"/>
  <c r="D804" i="2"/>
  <c r="B392" i="2"/>
  <c r="C392" i="2" s="1"/>
  <c r="P230" i="2"/>
  <c r="Q230" i="2" s="1"/>
  <c r="S230" i="2" s="1"/>
  <c r="P1215" i="2"/>
  <c r="Q1215" i="2" s="1"/>
  <c r="S1215" i="2" s="1"/>
  <c r="D566" i="2"/>
  <c r="D608" i="2"/>
  <c r="B331" i="2"/>
  <c r="C331" i="2" s="1"/>
  <c r="E1566" i="2"/>
  <c r="D1470" i="2"/>
  <c r="E1120" i="2"/>
  <c r="D1323" i="2"/>
  <c r="E457" i="2"/>
  <c r="P940" i="2"/>
  <c r="Q940" i="2" s="1"/>
  <c r="S940" i="2" s="1"/>
  <c r="E1236" i="2"/>
  <c r="B867" i="2"/>
  <c r="C867" i="2" s="1"/>
  <c r="B569" i="2"/>
  <c r="C569" i="2" s="1"/>
  <c r="E1458" i="2"/>
  <c r="E255" i="2"/>
  <c r="E978" i="2"/>
  <c r="B1025" i="2"/>
  <c r="C1025" i="2" s="1"/>
  <c r="B352" i="2"/>
  <c r="C352" i="2" s="1"/>
  <c r="E908" i="2"/>
  <c r="E674" i="2"/>
  <c r="E390" i="2"/>
  <c r="B925" i="2"/>
  <c r="C925" i="2" s="1"/>
  <c r="D992" i="2"/>
  <c r="B1531" i="2"/>
  <c r="C1531" i="2" s="1"/>
  <c r="D822" i="2"/>
  <c r="D1004" i="2"/>
  <c r="D1315" i="2"/>
  <c r="E849" i="2"/>
  <c r="D979" i="2"/>
  <c r="B1595" i="2"/>
  <c r="C1595" i="2" s="1"/>
  <c r="B463" i="2"/>
  <c r="C463" i="2" s="1"/>
  <c r="B727" i="2"/>
  <c r="C727" i="2" s="1"/>
  <c r="B646" i="2"/>
  <c r="C646" i="2" s="1"/>
  <c r="D1114" i="2"/>
  <c r="E828" i="2"/>
  <c r="E603" i="2"/>
  <c r="D240" i="2"/>
  <c r="E1343" i="2"/>
  <c r="B1135" i="2"/>
  <c r="C1135" i="2" s="1"/>
  <c r="E796" i="2"/>
  <c r="E798" i="2"/>
  <c r="E1281" i="2"/>
  <c r="B1523" i="2"/>
  <c r="C1523" i="2" s="1"/>
  <c r="B875" i="2"/>
  <c r="C875" i="2" s="1"/>
  <c r="D1185" i="2"/>
  <c r="D472" i="2"/>
  <c r="E1187" i="2"/>
  <c r="B418" i="2"/>
  <c r="C418" i="2" s="1"/>
  <c r="D1117" i="2"/>
  <c r="B622" i="2"/>
  <c r="C622" i="2" s="1"/>
  <c r="E267" i="2"/>
  <c r="D1384" i="2"/>
  <c r="B1439" i="2"/>
  <c r="C1439" i="2" s="1"/>
  <c r="D894" i="2"/>
  <c r="D574" i="2"/>
  <c r="D766" i="2"/>
  <c r="B700" i="2"/>
  <c r="C700" i="2" s="1"/>
  <c r="D440" i="2"/>
  <c r="B722" i="2"/>
  <c r="C722" i="2" s="1"/>
  <c r="E1278" i="2"/>
  <c r="D1095" i="2"/>
  <c r="D1413" i="2"/>
  <c r="B754" i="2"/>
  <c r="C754" i="2" s="1"/>
  <c r="E1561" i="2"/>
  <c r="E928" i="2"/>
  <c r="E586" i="2"/>
  <c r="E1305" i="2"/>
  <c r="B714" i="2"/>
  <c r="C714" i="2" s="1"/>
  <c r="D919" i="2"/>
  <c r="B962" i="2"/>
  <c r="C962" i="2" s="1"/>
  <c r="D361" i="2"/>
  <c r="D237" i="2"/>
  <c r="D1385" i="2"/>
  <c r="D1308" i="2"/>
  <c r="E396" i="2"/>
  <c r="D564" i="2"/>
  <c r="D1178" i="2"/>
  <c r="D817" i="2"/>
  <c r="P331" i="2"/>
  <c r="Q331" i="2" s="1"/>
  <c r="S331" i="2" s="1"/>
  <c r="B1141" i="2"/>
  <c r="C1141" i="2" s="1"/>
  <c r="B789" i="2"/>
  <c r="C789" i="2" s="1"/>
  <c r="E760" i="2"/>
  <c r="D412" i="2"/>
  <c r="D1089" i="2"/>
  <c r="E1009" i="2"/>
  <c r="D605" i="2"/>
  <c r="P1048" i="2"/>
  <c r="Q1048" i="2" s="1"/>
  <c r="S1048" i="2" s="1"/>
  <c r="P1532" i="2"/>
  <c r="Q1532" i="2" s="1"/>
  <c r="S1532" i="2" s="1"/>
  <c r="V1532" i="2" s="1"/>
  <c r="D1496" i="2"/>
  <c r="B228" i="2"/>
  <c r="C228" i="2" s="1"/>
  <c r="D1280" i="2"/>
  <c r="B1289" i="2"/>
  <c r="C1289" i="2" s="1"/>
  <c r="E738" i="2"/>
  <c r="E1473" i="2"/>
  <c r="E1390" i="2"/>
  <c r="E1243" i="2"/>
  <c r="B798" i="2"/>
  <c r="C798" i="2" s="1"/>
  <c r="P1480" i="2"/>
  <c r="Q1480" i="2" s="1"/>
  <c r="S1480" i="2" s="1"/>
  <c r="V1480" i="2" s="1"/>
  <c r="B821" i="2"/>
  <c r="C821" i="2" s="1"/>
  <c r="E1530" i="2"/>
  <c r="E973" i="2"/>
  <c r="D1423" i="2"/>
  <c r="E504" i="2"/>
  <c r="E651" i="2"/>
  <c r="B804" i="2"/>
  <c r="C804" i="2" s="1"/>
  <c r="B1385" i="2"/>
  <c r="C1385" i="2" s="1"/>
  <c r="P888" i="2"/>
  <c r="Q888" i="2" s="1"/>
  <c r="S888" i="2" s="1"/>
  <c r="D288" i="2"/>
  <c r="D976" i="2"/>
  <c r="B1270" i="2"/>
  <c r="C1270" i="2" s="1"/>
  <c r="E1165" i="2"/>
  <c r="B1187" i="2"/>
  <c r="C1187" i="2" s="1"/>
  <c r="B327" i="2"/>
  <c r="C327" i="2" s="1"/>
  <c r="E1454" i="2"/>
  <c r="D830" i="2"/>
  <c r="B790" i="2"/>
  <c r="C790" i="2" s="1"/>
  <c r="E735" i="2"/>
  <c r="E1477" i="2"/>
  <c r="D698" i="2"/>
  <c r="P870" i="2"/>
  <c r="E807" i="2"/>
  <c r="B1023" i="2"/>
  <c r="C1023" i="2" s="1"/>
  <c r="E854" i="2"/>
  <c r="D1254" i="2"/>
  <c r="B1591" i="2"/>
  <c r="C1591" i="2" s="1"/>
  <c r="E1020" i="2"/>
  <c r="D889" i="2"/>
  <c r="D1595" i="2"/>
  <c r="E1431" i="2"/>
  <c r="E814" i="2"/>
  <c r="B760" i="2"/>
  <c r="C760" i="2" s="1"/>
  <c r="B1326" i="2"/>
  <c r="C1326" i="2" s="1"/>
  <c r="B936" i="2"/>
  <c r="C936" i="2" s="1"/>
  <c r="B1353" i="2"/>
  <c r="C1353" i="2" s="1"/>
  <c r="B326" i="2"/>
  <c r="C326" i="2" s="1"/>
  <c r="D1193" i="2"/>
  <c r="E954" i="2"/>
  <c r="D690" i="2"/>
  <c r="E851" i="2"/>
  <c r="P1349" i="2"/>
  <c r="Q1349" i="2" s="1"/>
  <c r="S1349" i="2" s="1"/>
  <c r="V1349" i="2" s="1"/>
  <c r="E1525" i="2"/>
  <c r="D877" i="2"/>
  <c r="E706" i="2"/>
  <c r="D1392" i="2"/>
  <c r="P587" i="2"/>
  <c r="Q587" i="2" s="1"/>
  <c r="S587" i="2" s="1"/>
  <c r="E1033" i="2"/>
  <c r="B930" i="2"/>
  <c r="C930" i="2" s="1"/>
  <c r="D1123" i="2"/>
  <c r="P1157" i="2"/>
  <c r="Q1157" i="2" s="1"/>
  <c r="S1157" i="2" s="1"/>
  <c r="E1463" i="2"/>
  <c r="B1462" i="2"/>
  <c r="C1462" i="2" s="1"/>
  <c r="E1331" i="2"/>
  <c r="B1188" i="2"/>
  <c r="C1188" i="2" s="1"/>
  <c r="D1467" i="2"/>
  <c r="D1538" i="2"/>
  <c r="E487" i="2"/>
  <c r="B525" i="2"/>
  <c r="C525" i="2" s="1"/>
  <c r="B1063" i="2"/>
  <c r="C1063" i="2" s="1"/>
  <c r="D615" i="2"/>
  <c r="B924" i="2"/>
  <c r="C924" i="2" s="1"/>
  <c r="D390" i="2"/>
  <c r="D1474" i="2"/>
  <c r="E1594" i="2"/>
  <c r="E1029" i="2"/>
  <c r="D1417" i="2"/>
  <c r="B1530" i="2"/>
  <c r="C1530" i="2" s="1"/>
  <c r="D834" i="2"/>
  <c r="E420" i="2"/>
  <c r="B1491" i="2"/>
  <c r="C1491" i="2" s="1"/>
  <c r="E913" i="2"/>
  <c r="E1056" i="2"/>
  <c r="B484" i="2"/>
  <c r="C484" i="2" s="1"/>
  <c r="B1367" i="2"/>
  <c r="C1367" i="2" s="1"/>
  <c r="D920" i="2"/>
  <c r="B544" i="2"/>
  <c r="C544" i="2" s="1"/>
  <c r="D1011" i="2"/>
  <c r="D1111" i="2"/>
  <c r="D1090" i="2"/>
  <c r="B1043" i="2"/>
  <c r="C1043" i="2" s="1"/>
  <c r="E327" i="2"/>
  <c r="D671" i="2"/>
  <c r="D446" i="2"/>
  <c r="D590" i="2"/>
  <c r="B1263" i="2"/>
  <c r="C1263" i="2" s="1"/>
  <c r="D554" i="2"/>
  <c r="B550" i="2"/>
  <c r="C550" i="2" s="1"/>
  <c r="B1057" i="2"/>
  <c r="C1057" i="2" s="1"/>
  <c r="E1192" i="2"/>
  <c r="B1320" i="2"/>
  <c r="C1320" i="2" s="1"/>
  <c r="B533" i="2"/>
  <c r="C533" i="2" s="1"/>
  <c r="D759" i="2"/>
  <c r="P1534" i="2"/>
  <c r="E1365" i="2"/>
  <c r="D773" i="2"/>
  <c r="P1476" i="2"/>
  <c r="Q1476" i="2" s="1"/>
  <c r="S1476" i="2" s="1"/>
  <c r="D730" i="2"/>
  <c r="B531" i="2"/>
  <c r="C531" i="2" s="1"/>
  <c r="E1183" i="2"/>
  <c r="B337" i="2"/>
  <c r="C337" i="2" s="1"/>
  <c r="D1113" i="2"/>
  <c r="E331" i="2"/>
  <c r="B1222" i="2"/>
  <c r="C1222" i="2" s="1"/>
  <c r="D1223" i="2"/>
  <c r="E1535" i="2"/>
  <c r="E554" i="2"/>
  <c r="D338" i="2"/>
  <c r="B502" i="2"/>
  <c r="C502" i="2" s="1"/>
  <c r="E1060" i="2"/>
  <c r="D1356" i="2"/>
  <c r="D1022" i="2"/>
  <c r="D1099" i="2"/>
  <c r="D1370" i="2"/>
  <c r="B1148" i="2"/>
  <c r="C1148" i="2" s="1"/>
  <c r="E890" i="2"/>
  <c r="E587" i="2"/>
  <c r="E1496" i="2"/>
  <c r="D1078" i="2"/>
  <c r="B601" i="2"/>
  <c r="C601" i="2" s="1"/>
  <c r="B664" i="2"/>
  <c r="C664" i="2" s="1"/>
  <c r="D818" i="2"/>
  <c r="E898" i="2"/>
  <c r="E368" i="2"/>
  <c r="E1169" i="2"/>
  <c r="E325" i="2"/>
  <c r="D525" i="2"/>
  <c r="P1109" i="2"/>
  <c r="Q1109" i="2" s="1"/>
  <c r="S1109" i="2" s="1"/>
  <c r="B293" i="2"/>
  <c r="C293" i="2" s="1"/>
  <c r="E508" i="2"/>
  <c r="E311" i="2"/>
  <c r="E1252" i="2"/>
  <c r="E1269" i="2"/>
  <c r="B1099" i="2"/>
  <c r="C1099" i="2" s="1"/>
  <c r="D952" i="2"/>
  <c r="E545" i="2"/>
  <c r="B1272" i="2"/>
  <c r="C1272" i="2" s="1"/>
  <c r="D345" i="2"/>
  <c r="D1025" i="2"/>
  <c r="B1503" i="2"/>
  <c r="C1503" i="2" s="1"/>
  <c r="D777" i="2"/>
  <c r="B504" i="2"/>
  <c r="C504" i="2" s="1"/>
  <c r="B436" i="2"/>
  <c r="C436" i="2" s="1"/>
  <c r="D932" i="2"/>
  <c r="D870" i="2"/>
  <c r="B761" i="2"/>
  <c r="C761" i="2" s="1"/>
  <c r="E1471" i="2"/>
  <c r="D1245" i="2"/>
  <c r="B895" i="2"/>
  <c r="C895" i="2" s="1"/>
  <c r="B1404" i="2"/>
  <c r="C1404" i="2" s="1"/>
  <c r="E917" i="2"/>
  <c r="B1259" i="2"/>
  <c r="C1259" i="2" s="1"/>
  <c r="E225" i="2"/>
  <c r="E290" i="2"/>
  <c r="P796" i="2"/>
  <c r="Q796" i="2" s="1"/>
  <c r="S796" i="2" s="1"/>
  <c r="D785" i="2"/>
  <c r="D950" i="2"/>
  <c r="E774" i="2"/>
  <c r="B1046" i="2"/>
  <c r="C1046" i="2" s="1"/>
  <c r="E321" i="2"/>
  <c r="B859" i="2"/>
  <c r="C859" i="2" s="1"/>
  <c r="D1358" i="2"/>
  <c r="B1460" i="2"/>
  <c r="C1460" i="2" s="1"/>
  <c r="D310" i="2"/>
  <c r="D1578" i="2"/>
  <c r="E298" i="2"/>
  <c r="E643" i="2"/>
  <c r="D648" i="2"/>
  <c r="D441" i="2"/>
  <c r="E392" i="2"/>
  <c r="D689" i="2"/>
  <c r="D867" i="2"/>
  <c r="B726" i="2"/>
  <c r="C726" i="2" s="1"/>
  <c r="B1388" i="2"/>
  <c r="C1388" i="2" s="1"/>
  <c r="D1514" i="2"/>
  <c r="B683" i="2"/>
  <c r="C683" i="2" s="1"/>
  <c r="E1174" i="2"/>
  <c r="E1296" i="2"/>
  <c r="E897" i="2"/>
  <c r="B455" i="2"/>
  <c r="C455" i="2" s="1"/>
  <c r="E568" i="2"/>
  <c r="B1381" i="2"/>
  <c r="C1381" i="2" s="1"/>
  <c r="B439" i="2"/>
  <c r="C439" i="2" s="1"/>
  <c r="B480" i="2"/>
  <c r="C480" i="2" s="1"/>
  <c r="B698" i="2"/>
  <c r="C698" i="2" s="1"/>
  <c r="E262" i="2"/>
  <c r="E1363" i="2"/>
  <c r="D1305" i="2"/>
  <c r="D1364" i="2"/>
  <c r="B1128" i="2"/>
  <c r="C1128" i="2" s="1"/>
  <c r="B1105" i="2"/>
  <c r="C1105" i="2" s="1"/>
  <c r="B1450" i="2"/>
  <c r="C1450" i="2" s="1"/>
  <c r="D1041" i="2"/>
  <c r="D1140" i="2"/>
  <c r="D476" i="2"/>
  <c r="D1265" i="2"/>
  <c r="D1497" i="2"/>
  <c r="E1309" i="2"/>
  <c r="D488" i="2"/>
  <c r="B271" i="2"/>
  <c r="C271" i="2" s="1"/>
  <c r="D1591" i="2"/>
  <c r="D890" i="2"/>
  <c r="E609" i="2"/>
  <c r="B1180" i="2"/>
  <c r="C1180" i="2" s="1"/>
  <c r="B288" i="2"/>
  <c r="C288" i="2" s="1"/>
  <c r="E1317" i="2"/>
  <c r="B476" i="2"/>
  <c r="C476" i="2" s="1"/>
  <c r="D1068" i="2"/>
  <c r="E1024" i="2"/>
  <c r="D1536" i="2"/>
  <c r="D1475" i="2"/>
  <c r="B1482" i="2"/>
  <c r="C1482" i="2" s="1"/>
  <c r="B341" i="2"/>
  <c r="C341" i="2" s="1"/>
  <c r="D1311" i="2"/>
  <c r="E601" i="2"/>
  <c r="B441" i="2"/>
  <c r="C441" i="2" s="1"/>
  <c r="E1377" i="2"/>
  <c r="B230" i="2"/>
  <c r="C230" i="2" s="1"/>
  <c r="B1580" i="2"/>
  <c r="C1580" i="2" s="1"/>
  <c r="D542" i="2"/>
  <c r="B471" i="2"/>
  <c r="C471" i="2" s="1"/>
  <c r="D756" i="2"/>
  <c r="P1045" i="2"/>
  <c r="Q1045" i="2" s="1"/>
  <c r="S1045" i="2" s="1"/>
  <c r="D284" i="2"/>
  <c r="B627" i="2"/>
  <c r="C627" i="2" s="1"/>
  <c r="P529" i="2"/>
  <c r="Q529" i="2" s="1"/>
  <c r="S529" i="2" s="1"/>
  <c r="E1195" i="2"/>
  <c r="P1259" i="2"/>
  <c r="Q1259" i="2" s="1"/>
  <c r="S1259" i="2" s="1"/>
  <c r="V1259" i="2" s="1"/>
  <c r="B1096" i="2"/>
  <c r="C1096" i="2" s="1"/>
  <c r="B1544" i="2"/>
  <c r="C1544" i="2" s="1"/>
  <c r="E306" i="2"/>
  <c r="B638" i="2"/>
  <c r="C638" i="2" s="1"/>
  <c r="B350" i="2"/>
  <c r="C350" i="2" s="1"/>
  <c r="B703" i="2"/>
  <c r="C703" i="2" s="1"/>
  <c r="D603" i="2"/>
  <c r="E1255" i="2"/>
  <c r="E717" i="2"/>
  <c r="E737" i="2"/>
  <c r="E1277" i="2"/>
  <c r="E1444" i="2"/>
  <c r="B1287" i="2"/>
  <c r="C1287" i="2" s="1"/>
  <c r="E958" i="2"/>
  <c r="D1532" i="2"/>
  <c r="E1527" i="2"/>
  <c r="D389" i="2"/>
  <c r="E907" i="2"/>
  <c r="E1526" i="2"/>
  <c r="E1055" i="2"/>
  <c r="B884" i="2"/>
  <c r="C884" i="2" s="1"/>
  <c r="P1343" i="2"/>
  <c r="Q1343" i="2" s="1"/>
  <c r="S1343" i="2" s="1"/>
  <c r="D806" i="2"/>
  <c r="P488" i="2"/>
  <c r="Q488" i="2" s="1"/>
  <c r="S488" i="2" s="1"/>
  <c r="E1104" i="2"/>
  <c r="B836" i="2"/>
  <c r="C836" i="2" s="1"/>
  <c r="D1360" i="2"/>
  <c r="D490" i="2"/>
  <c r="E482" i="2"/>
  <c r="D1338" i="2"/>
  <c r="E773" i="2"/>
  <c r="E476" i="2"/>
  <c r="D1124" i="2"/>
  <c r="B384" i="2"/>
  <c r="C384" i="2" s="1"/>
  <c r="D1544" i="2"/>
  <c r="E506" i="2"/>
  <c r="E1185" i="2"/>
  <c r="D1192" i="2"/>
  <c r="B1604" i="2"/>
  <c r="C1604" i="2" s="1"/>
  <c r="D618" i="2"/>
  <c r="D439" i="2"/>
  <c r="E579" i="2"/>
  <c r="E757" i="2"/>
  <c r="B286" i="2"/>
  <c r="C286" i="2" s="1"/>
  <c r="D1284" i="2"/>
  <c r="D521" i="2"/>
  <c r="B1104" i="2"/>
  <c r="C1104" i="2" s="1"/>
  <c r="D1329" i="2"/>
  <c r="B1102" i="2"/>
  <c r="C1102" i="2" s="1"/>
  <c r="D727" i="2"/>
  <c r="E1539" i="2"/>
  <c r="E1061" i="2"/>
  <c r="E275" i="2"/>
  <c r="D819" i="2"/>
  <c r="B1495" i="2"/>
  <c r="C1495" i="2" s="1"/>
  <c r="D1374" i="2"/>
  <c r="B963" i="2"/>
  <c r="C963" i="2" s="1"/>
  <c r="D517" i="2"/>
  <c r="D335" i="2"/>
  <c r="P1017" i="2"/>
  <c r="Q1017" i="2" s="1"/>
  <c r="S1017" i="2" s="1"/>
  <c r="E1094" i="2"/>
  <c r="B515" i="2"/>
  <c r="C515" i="2" s="1"/>
  <c r="E1035" i="2"/>
  <c r="E1111" i="2"/>
  <c r="D861" i="2"/>
  <c r="D1016" i="2"/>
  <c r="D862" i="2"/>
  <c r="E1374" i="2"/>
  <c r="D1326" i="2"/>
  <c r="E1224" i="2"/>
  <c r="D1209" i="2"/>
  <c r="E1003" i="2"/>
  <c r="B1564" i="2"/>
  <c r="C1564" i="2" s="1"/>
  <c r="B282" i="2"/>
  <c r="C282" i="2" s="1"/>
  <c r="E968" i="2"/>
  <c r="E840" i="2"/>
  <c r="B1560" i="2"/>
  <c r="C1560" i="2" s="1"/>
  <c r="E925" i="2"/>
  <c r="B633" i="2"/>
  <c r="C633" i="2" s="1"/>
  <c r="D967" i="2"/>
  <c r="B1449" i="2"/>
  <c r="C1449" i="2" s="1"/>
  <c r="D527" i="2"/>
  <c r="E742" i="2"/>
  <c r="B420" i="2"/>
  <c r="C420" i="2" s="1"/>
  <c r="D1476" i="2"/>
  <c r="B915" i="2"/>
  <c r="C915" i="2" s="1"/>
  <c r="E1142" i="2"/>
  <c r="D267" i="2"/>
  <c r="B308" i="2"/>
  <c r="C308" i="2" s="1"/>
  <c r="D1286" i="2"/>
  <c r="B897" i="2"/>
  <c r="C897" i="2" s="1"/>
  <c r="P1466" i="2"/>
  <c r="Q1466" i="2" s="1"/>
  <c r="S1466" i="2" s="1"/>
  <c r="V1466" i="2" s="1"/>
  <c r="D1194" i="2"/>
  <c r="E1503" i="2"/>
  <c r="B1017" i="2"/>
  <c r="C1017" i="2" s="1"/>
  <c r="D232" i="2"/>
  <c r="E574" i="2"/>
  <c r="E619" i="2"/>
  <c r="P1454" i="2"/>
  <c r="Q1454" i="2" s="1"/>
  <c r="S1454" i="2" s="1"/>
  <c r="V1454" i="2" s="1"/>
  <c r="D612" i="2"/>
  <c r="E1375" i="2"/>
  <c r="D1218" i="2"/>
  <c r="D1366" i="2"/>
  <c r="E990" i="2"/>
  <c r="D1055" i="2"/>
  <c r="B1127" i="2"/>
  <c r="C1127" i="2" s="1"/>
  <c r="B1430" i="2"/>
  <c r="C1430" i="2" s="1"/>
  <c r="E1424" i="2"/>
  <c r="E436" i="2"/>
  <c r="E385" i="2"/>
  <c r="D1086" i="2"/>
  <c r="E929" i="2"/>
  <c r="B1596" i="2"/>
  <c r="C1596" i="2" s="1"/>
  <c r="E624" i="2"/>
  <c r="D399" i="2"/>
  <c r="B1356" i="2"/>
  <c r="C1356" i="2" s="1"/>
  <c r="E314" i="2"/>
  <c r="B343" i="2"/>
  <c r="C343" i="2" s="1"/>
  <c r="D798" i="2"/>
  <c r="D969" i="2"/>
  <c r="D400" i="2"/>
  <c r="P1326" i="2"/>
  <c r="Q1326" i="2" s="1"/>
  <c r="S1326" i="2" s="1"/>
  <c r="E1563" i="2"/>
  <c r="D836" i="2"/>
  <c r="E1039" i="2"/>
  <c r="E904" i="2"/>
  <c r="D676" i="2"/>
  <c r="D322" i="2"/>
  <c r="B1582" i="2"/>
  <c r="C1582" i="2" s="1"/>
  <c r="D770" i="2"/>
  <c r="E1505" i="2"/>
  <c r="D402" i="2"/>
  <c r="D1057" i="2"/>
  <c r="B879" i="2"/>
  <c r="C879" i="2" s="1"/>
  <c r="B360" i="2"/>
  <c r="C360" i="2" s="1"/>
  <c r="B773" i="2"/>
  <c r="C773" i="2" s="1"/>
  <c r="E1188" i="2"/>
  <c r="B1468" i="2"/>
  <c r="C1468" i="2" s="1"/>
  <c r="E1235" i="2"/>
  <c r="D1084" i="2"/>
  <c r="E559" i="2"/>
  <c r="E439" i="2"/>
  <c r="D1461" i="2"/>
  <c r="B252" i="2"/>
  <c r="C252" i="2" s="1"/>
  <c r="D913" i="2"/>
  <c r="B1370" i="2"/>
  <c r="C1370" i="2" s="1"/>
  <c r="B1493" i="2"/>
  <c r="C1493" i="2" s="1"/>
  <c r="E1099" i="2"/>
  <c r="D233" i="2"/>
  <c r="D1601" i="2"/>
  <c r="D1026" i="2"/>
  <c r="D1204" i="2"/>
  <c r="E931" i="2"/>
  <c r="D1163" i="2"/>
  <c r="D672" i="2"/>
  <c r="E1217" i="2"/>
  <c r="E1091" i="2"/>
  <c r="E1427" i="2"/>
  <c r="E1180" i="2"/>
  <c r="B300" i="2"/>
  <c r="C300" i="2" s="1"/>
  <c r="E918" i="2"/>
  <c r="D1349" i="2"/>
  <c r="E560" i="2"/>
  <c r="D771" i="2"/>
  <c r="B1517" i="2"/>
  <c r="C1517" i="2" s="1"/>
  <c r="D1469" i="2"/>
  <c r="E939" i="2"/>
  <c r="B524" i="2"/>
  <c r="C524" i="2" s="1"/>
  <c r="D948" i="2"/>
  <c r="E1242" i="2"/>
  <c r="D667" i="2"/>
  <c r="B1198" i="2"/>
  <c r="C1198" i="2" s="1"/>
  <c r="E775" i="2"/>
  <c r="B675" i="2"/>
  <c r="C675" i="2" s="1"/>
  <c r="D1104" i="2"/>
  <c r="D1533" i="2"/>
  <c r="D1287" i="2"/>
  <c r="D1064" i="2"/>
  <c r="D1554" i="2"/>
  <c r="B315" i="2"/>
  <c r="C315" i="2" s="1"/>
  <c r="B506" i="2"/>
  <c r="C506" i="2" s="1"/>
  <c r="E389" i="2"/>
  <c r="P581" i="2"/>
  <c r="Q581" i="2" s="1"/>
  <c r="S581" i="2" s="1"/>
  <c r="E618" i="2"/>
  <c r="D799" i="2"/>
  <c r="B269" i="2"/>
  <c r="C269" i="2" s="1"/>
  <c r="B872" i="2"/>
  <c r="C872" i="2" s="1"/>
  <c r="E926" i="2"/>
  <c r="D1098" i="2"/>
  <c r="D1292" i="2"/>
  <c r="D256" i="2"/>
  <c r="E1580" i="2"/>
  <c r="D1093" i="2"/>
  <c r="E253" i="2"/>
  <c r="E1567" i="2"/>
  <c r="B1308" i="2"/>
  <c r="C1308" i="2" s="1"/>
  <c r="P576" i="2"/>
  <c r="Q576" i="2" s="1"/>
  <c r="S576" i="2" s="1"/>
  <c r="E1498" i="2"/>
  <c r="D1036" i="2"/>
  <c r="E582" i="2"/>
  <c r="D285" i="2"/>
  <c r="B665" i="2"/>
  <c r="C665" i="2" s="1"/>
  <c r="B939" i="2"/>
  <c r="C939" i="2" s="1"/>
  <c r="E1517" i="2"/>
  <c r="D1517" i="2"/>
  <c r="D557" i="2"/>
  <c r="E382" i="2"/>
  <c r="B438" i="2"/>
  <c r="C438" i="2" s="1"/>
  <c r="D1116" i="2"/>
  <c r="P767" i="2"/>
  <c r="Q767" i="2" s="1"/>
  <c r="S767" i="2" s="1"/>
  <c r="E269" i="2"/>
  <c r="E1181" i="2"/>
  <c r="B512" i="2"/>
  <c r="C512" i="2" s="1"/>
  <c r="E629" i="2"/>
  <c r="B907" i="2"/>
  <c r="C907" i="2" s="1"/>
  <c r="P793" i="2"/>
  <c r="Q793" i="2" s="1"/>
  <c r="S793" i="2" s="1"/>
  <c r="D1058" i="2"/>
  <c r="E692" i="2"/>
  <c r="D1589" i="2"/>
  <c r="B1432" i="2"/>
  <c r="C1432" i="2" s="1"/>
  <c r="E734" i="2"/>
  <c r="D742" i="2"/>
  <c r="E583" i="2"/>
  <c r="E927" i="2"/>
  <c r="D1541" i="2"/>
  <c r="E861" i="2"/>
  <c r="B765" i="2"/>
  <c r="C765" i="2" s="1"/>
  <c r="E785" i="2"/>
  <c r="B1153" i="2"/>
  <c r="C1153" i="2" s="1"/>
  <c r="P1213" i="2"/>
  <c r="Q1213" i="2" s="1"/>
  <c r="S1213" i="2" s="1"/>
  <c r="V1213" i="2" s="1"/>
  <c r="B934" i="2"/>
  <c r="C934" i="2" s="1"/>
  <c r="D1207" i="2"/>
  <c r="B589" i="2"/>
  <c r="C589" i="2" s="1"/>
  <c r="B243" i="2"/>
  <c r="C243" i="2" s="1"/>
  <c r="E1146" i="2"/>
  <c r="B498" i="2"/>
  <c r="C498" i="2" s="1"/>
  <c r="E510" i="2"/>
  <c r="P1319" i="2"/>
  <c r="Q1319" i="2" s="1"/>
  <c r="S1319" i="2" s="1"/>
  <c r="B399" i="2"/>
  <c r="C399" i="2" s="1"/>
  <c r="B321" i="2"/>
  <c r="C321" i="2" s="1"/>
  <c r="B937" i="2"/>
  <c r="C937" i="2" s="1"/>
  <c r="E696" i="2"/>
  <c r="E1411" i="2"/>
  <c r="B791" i="2"/>
  <c r="C791" i="2" s="1"/>
  <c r="E860" i="2"/>
  <c r="B943" i="2"/>
  <c r="C943" i="2" s="1"/>
  <c r="B1365" i="2"/>
  <c r="C1365" i="2" s="1"/>
  <c r="B1288" i="2"/>
  <c r="C1288" i="2" s="1"/>
  <c r="D596" i="2"/>
  <c r="D1015" i="2"/>
  <c r="B775" i="2"/>
  <c r="C775" i="2" s="1"/>
  <c r="E731" i="2"/>
  <c r="E1140" i="2"/>
  <c r="D373" i="2"/>
  <c r="E1098" i="2"/>
  <c r="E1420" i="2"/>
  <c r="D1556" i="2"/>
  <c r="D666" i="2"/>
  <c r="B1107" i="2"/>
  <c r="C1107" i="2" s="1"/>
  <c r="E937" i="2"/>
  <c r="B1163" i="2"/>
  <c r="C1163" i="2" s="1"/>
  <c r="E817" i="2"/>
  <c r="D665" i="2"/>
  <c r="E1596" i="2"/>
  <c r="E1323" i="2"/>
  <c r="D449" i="2"/>
  <c r="D1450" i="2"/>
  <c r="D663" i="2"/>
  <c r="E933" i="2"/>
  <c r="D1282" i="2"/>
  <c r="E730" i="2"/>
  <c r="B316" i="2"/>
  <c r="C316" i="2" s="1"/>
  <c r="D1432" i="2"/>
  <c r="E922" i="2"/>
  <c r="E858" i="2"/>
  <c r="D1504" i="2"/>
  <c r="B1019" i="2"/>
  <c r="C1019" i="2" s="1"/>
  <c r="E837" i="2"/>
  <c r="D1070" i="2"/>
  <c r="E886" i="2"/>
  <c r="B519" i="2"/>
  <c r="C519" i="2" s="1"/>
  <c r="E384" i="2"/>
  <c r="D1097" i="2"/>
  <c r="E1008" i="2"/>
  <c r="D1468" i="2"/>
  <c r="B1260" i="2"/>
  <c r="C1260" i="2" s="1"/>
  <c r="D407" i="2"/>
  <c r="D1132" i="2"/>
  <c r="E562" i="2"/>
  <c r="B1293" i="2"/>
  <c r="C1293" i="2" s="1"/>
  <c r="D1427" i="2"/>
  <c r="E360" i="2"/>
  <c r="E633" i="2"/>
  <c r="E1546" i="2"/>
  <c r="E293" i="2"/>
  <c r="D1320" i="2"/>
  <c r="B635" i="2"/>
  <c r="C635" i="2" s="1"/>
  <c r="E1389" i="2"/>
  <c r="B1229" i="2"/>
  <c r="C1229" i="2" s="1"/>
  <c r="B1547" i="2"/>
  <c r="C1547" i="2" s="1"/>
  <c r="E280" i="2"/>
  <c r="E1173" i="2"/>
  <c r="B1176" i="2"/>
  <c r="C1176" i="2" s="1"/>
  <c r="E1078" i="2"/>
  <c r="B1509" i="2"/>
  <c r="C1509" i="2" s="1"/>
  <c r="D457" i="2"/>
  <c r="P399" i="2"/>
  <c r="Q399" i="2" s="1"/>
  <c r="S399" i="2" s="1"/>
  <c r="B786" i="2"/>
  <c r="C786" i="2" s="1"/>
  <c r="D282" i="2"/>
  <c r="D357" i="2"/>
  <c r="B873" i="2"/>
  <c r="C873" i="2" s="1"/>
  <c r="D556" i="2"/>
  <c r="B1431" i="2"/>
  <c r="C1431" i="2" s="1"/>
  <c r="B1139" i="2"/>
  <c r="C1139" i="2" s="1"/>
  <c r="D253" i="2"/>
  <c r="B967" i="2"/>
  <c r="C967" i="2" s="1"/>
  <c r="B1265" i="2"/>
  <c r="C1265" i="2" s="1"/>
  <c r="B568" i="2"/>
  <c r="C568" i="2" s="1"/>
  <c r="P1185" i="2"/>
  <c r="E391" i="2"/>
  <c r="E248" i="2"/>
  <c r="D820" i="2"/>
  <c r="B827" i="2"/>
  <c r="C827" i="2" s="1"/>
  <c r="D958" i="2"/>
  <c r="B806" i="2"/>
  <c r="C806" i="2" s="1"/>
  <c r="B1160" i="2"/>
  <c r="C1160" i="2" s="1"/>
  <c r="D810" i="2"/>
  <c r="D348" i="2"/>
  <c r="E1062" i="2"/>
  <c r="E1522" i="2"/>
  <c r="E592" i="2"/>
  <c r="D523" i="2"/>
  <c r="E938" i="2"/>
  <c r="B1114" i="2"/>
  <c r="C1114" i="2" s="1"/>
  <c r="B1154" i="2"/>
  <c r="C1154" i="2" s="1"/>
  <c r="D573" i="2"/>
  <c r="B1126" i="2"/>
  <c r="C1126" i="2" s="1"/>
  <c r="P579" i="2"/>
  <c r="Q579" i="2" s="1"/>
  <c r="S579" i="2" s="1"/>
  <c r="D661" i="2"/>
  <c r="D581" i="2"/>
  <c r="B1013" i="2"/>
  <c r="C1013" i="2" s="1"/>
  <c r="E231" i="2"/>
  <c r="D1409" i="2"/>
  <c r="B988" i="2"/>
  <c r="C988" i="2" s="1"/>
  <c r="E660" i="2"/>
  <c r="D1196" i="2"/>
  <c r="D347" i="2"/>
  <c r="E712" i="2"/>
  <c r="E243" i="2"/>
  <c r="D1170" i="2"/>
  <c r="E260" i="2"/>
  <c r="E746" i="2"/>
  <c r="D1597" i="2"/>
  <c r="D930" i="2"/>
  <c r="B294" i="2"/>
  <c r="C294" i="2" s="1"/>
  <c r="E745" i="2"/>
  <c r="B742" i="2"/>
  <c r="C742" i="2" s="1"/>
  <c r="B710" i="2"/>
  <c r="C710" i="2" s="1"/>
  <c r="E372" i="2"/>
  <c r="B1036" i="2"/>
  <c r="C1036" i="2" s="1"/>
  <c r="P1156" i="2"/>
  <c r="E830" i="2"/>
  <c r="E1133" i="2"/>
  <c r="E768" i="2"/>
  <c r="E863" i="2"/>
  <c r="B1065" i="2"/>
  <c r="C1065" i="2" s="1"/>
  <c r="E668" i="2"/>
  <c r="B542" i="2"/>
  <c r="C542" i="2" s="1"/>
  <c r="E1050" i="2"/>
  <c r="E556" i="2"/>
  <c r="E650" i="2"/>
  <c r="E784" i="2"/>
  <c r="D1381" i="2"/>
  <c r="B801" i="2"/>
  <c r="C801" i="2" s="1"/>
  <c r="B1364" i="2"/>
  <c r="C1364" i="2" s="1"/>
  <c r="D1520" i="2"/>
  <c r="E1572" i="2"/>
  <c r="B971" i="2"/>
  <c r="C971" i="2" s="1"/>
  <c r="D300" i="2"/>
  <c r="D538" i="2"/>
  <c r="E941" i="2"/>
  <c r="B881" i="2"/>
  <c r="C881" i="2" s="1"/>
  <c r="B896" i="2"/>
  <c r="C896" i="2" s="1"/>
  <c r="E455" i="2"/>
  <c r="B1255" i="2"/>
  <c r="C1255" i="2" s="1"/>
  <c r="E1084" i="2"/>
  <c r="D974" i="2"/>
  <c r="E756" i="2"/>
  <c r="B750" i="2"/>
  <c r="C750" i="2" s="1"/>
  <c r="E1298" i="2"/>
  <c r="B1363" i="2"/>
  <c r="C1363" i="2" s="1"/>
  <c r="B528" i="2"/>
  <c r="C528" i="2" s="1"/>
  <c r="B1350" i="2"/>
  <c r="C1350" i="2" s="1"/>
  <c r="B563" i="2"/>
  <c r="C563" i="2" s="1"/>
  <c r="B720" i="2"/>
  <c r="C720" i="2" s="1"/>
  <c r="B404" i="2"/>
  <c r="C404" i="2" s="1"/>
  <c r="B809" i="2"/>
  <c r="C809" i="2" s="1"/>
  <c r="E1279" i="2"/>
  <c r="D1013" i="2"/>
  <c r="B960" i="2"/>
  <c r="C960" i="2" s="1"/>
  <c r="B372" i="2"/>
  <c r="C372" i="2" s="1"/>
  <c r="E942" i="2"/>
  <c r="D658" i="2"/>
  <c r="B636" i="2"/>
  <c r="C636" i="2" s="1"/>
  <c r="D597" i="2"/>
  <c r="E747" i="2"/>
  <c r="B1267" i="2"/>
  <c r="C1267" i="2" s="1"/>
  <c r="B346" i="2"/>
  <c r="C346" i="2" s="1"/>
  <c r="B632" i="2"/>
  <c r="C632" i="2" s="1"/>
  <c r="B1040" i="2"/>
  <c r="C1040" i="2" s="1"/>
  <c r="E638" i="2"/>
  <c r="E1141" i="2"/>
  <c r="B826" i="2"/>
  <c r="C826" i="2" s="1"/>
  <c r="B835" i="2"/>
  <c r="C835" i="2" s="1"/>
  <c r="P1316" i="2"/>
  <c r="Q1316" i="2" s="1"/>
  <c r="S1316" i="2" s="1"/>
  <c r="B225" i="2"/>
  <c r="C225" i="2" s="1"/>
  <c r="D1161" i="2"/>
  <c r="E434" i="2"/>
  <c r="E1103" i="2"/>
  <c r="E488" i="2"/>
  <c r="B1335" i="2"/>
  <c r="C1335" i="2" s="1"/>
  <c r="B382" i="2"/>
  <c r="C382" i="2" s="1"/>
  <c r="B536" i="2"/>
  <c r="C536" i="2" s="1"/>
  <c r="D1180" i="2"/>
  <c r="D1059" i="2"/>
  <c r="B1583" i="2"/>
  <c r="C1583" i="2" s="1"/>
  <c r="E1213" i="2"/>
  <c r="P575" i="2"/>
  <c r="Q575" i="2" s="1"/>
  <c r="S575" i="2" s="1"/>
  <c r="B1307" i="2"/>
  <c r="C1307" i="2" s="1"/>
  <c r="D660" i="2"/>
  <c r="D279" i="2"/>
  <c r="E759" i="2"/>
  <c r="P1345" i="2"/>
  <c r="Q1345" i="2" s="1"/>
  <c r="S1345" i="2" s="1"/>
  <c r="D1558" i="2"/>
  <c r="D405" i="2"/>
  <c r="E263" i="2"/>
  <c r="D880" i="2"/>
  <c r="B694" i="2"/>
  <c r="C694" i="2" s="1"/>
  <c r="E1253" i="2"/>
  <c r="D1081" i="2"/>
  <c r="E1555" i="2"/>
  <c r="D1088" i="2"/>
  <c r="D1276" i="2"/>
  <c r="B941" i="2"/>
  <c r="C941" i="2" s="1"/>
  <c r="E524" i="2"/>
  <c r="B1192" i="2"/>
  <c r="C1192" i="2" s="1"/>
  <c r="P1030" i="2"/>
  <c r="Q1030" i="2" s="1"/>
  <c r="S1030" i="2" s="1"/>
  <c r="P1206" i="2"/>
  <c r="Q1206" i="2" s="1"/>
  <c r="S1206" i="2" s="1"/>
  <c r="E596" i="2"/>
  <c r="E250" i="2"/>
  <c r="B1205" i="2"/>
  <c r="C1205" i="2" s="1"/>
  <c r="D1319" i="2"/>
  <c r="D384" i="2"/>
  <c r="B704" i="2"/>
  <c r="C704" i="2" s="1"/>
  <c r="E622" i="2"/>
  <c r="P235" i="2"/>
  <c r="Q235" i="2" s="1"/>
  <c r="S235" i="2" s="1"/>
  <c r="B887" i="2"/>
  <c r="C887" i="2" s="1"/>
  <c r="E894" i="2"/>
  <c r="E1360" i="2"/>
  <c r="E468" i="2"/>
  <c r="E1299" i="2"/>
  <c r="D1243" i="2"/>
  <c r="E279" i="2"/>
  <c r="P1204" i="2"/>
  <c r="Q1204" i="2" s="1"/>
  <c r="S1204" i="2" s="1"/>
  <c r="B905" i="2"/>
  <c r="C905" i="2" s="1"/>
  <c r="B263" i="2"/>
  <c r="C263" i="2" s="1"/>
  <c r="E1131" i="2"/>
  <c r="B509" i="2"/>
  <c r="C509" i="2" s="1"/>
  <c r="D1142" i="2"/>
  <c r="P863" i="2"/>
  <c r="Q863" i="2" s="1"/>
  <c r="S863" i="2" s="1"/>
  <c r="E341" i="2"/>
  <c r="B643" i="2"/>
  <c r="C643" i="2" s="1"/>
  <c r="B451" i="2"/>
  <c r="C451" i="2" s="1"/>
  <c r="B232" i="2"/>
  <c r="C232" i="2" s="1"/>
  <c r="P973" i="2"/>
  <c r="Q973" i="2" s="1"/>
  <c r="S973" i="2" s="1"/>
  <c r="D1262" i="2"/>
  <c r="B766" i="2"/>
  <c r="C766" i="2" s="1"/>
  <c r="B629" i="2"/>
  <c r="C629" i="2" s="1"/>
  <c r="E1144" i="2"/>
  <c r="P1456" i="2"/>
  <c r="Q1456" i="2" s="1"/>
  <c r="S1456" i="2" s="1"/>
  <c r="V1456" i="2" s="1"/>
  <c r="P1211" i="2"/>
  <c r="Q1211" i="2" s="1"/>
  <c r="S1211" i="2" s="1"/>
  <c r="E602" i="2"/>
  <c r="E741" i="2"/>
  <c r="E1565" i="2"/>
  <c r="B1347" i="2"/>
  <c r="C1347" i="2" s="1"/>
  <c r="B938" i="2"/>
  <c r="C938" i="2" s="1"/>
  <c r="D452" i="2"/>
  <c r="B1095" i="2"/>
  <c r="C1095" i="2" s="1"/>
  <c r="D1389" i="2"/>
  <c r="B472" i="2"/>
  <c r="C472" i="2" s="1"/>
  <c r="E1267" i="2"/>
  <c r="E1568" i="2"/>
  <c r="B229" i="2"/>
  <c r="C229" i="2" s="1"/>
  <c r="D1369" i="2"/>
  <c r="D471" i="2"/>
  <c r="E1370" i="2"/>
  <c r="B1252" i="2"/>
  <c r="C1252" i="2" s="1"/>
  <c r="B728" i="2"/>
  <c r="C728" i="2" s="1"/>
  <c r="D936" i="2"/>
  <c r="B1484" i="2"/>
  <c r="C1484" i="2" s="1"/>
  <c r="B1174" i="2"/>
  <c r="C1174" i="2" s="1"/>
  <c r="E569" i="2"/>
  <c r="D891" i="2"/>
  <c r="B561" i="2"/>
  <c r="C561" i="2" s="1"/>
  <c r="E1589" i="2"/>
  <c r="E1313" i="2"/>
  <c r="D1439" i="2"/>
  <c r="E1409" i="2"/>
  <c r="B296" i="2"/>
  <c r="C296" i="2" s="1"/>
  <c r="E318" i="2"/>
  <c r="D1034" i="2"/>
  <c r="D847" i="2"/>
  <c r="B1436" i="2"/>
  <c r="C1436" i="2" s="1"/>
  <c r="B837" i="2"/>
  <c r="C837" i="2" s="1"/>
  <c r="B813" i="2"/>
  <c r="C813" i="2" s="1"/>
  <c r="B992" i="2"/>
  <c r="C992" i="2" s="1"/>
  <c r="B1315" i="2"/>
  <c r="C1315" i="2" s="1"/>
  <c r="E1453" i="2"/>
  <c r="E1182" i="2"/>
  <c r="E411" i="2"/>
  <c r="B255" i="2"/>
  <c r="C255" i="2" s="1"/>
  <c r="B1060" i="2"/>
  <c r="C1060" i="2" s="1"/>
  <c r="B369" i="2"/>
  <c r="C369" i="2" s="1"/>
  <c r="D917" i="2"/>
  <c r="E1552" i="2"/>
  <c r="D559" i="2"/>
  <c r="B1155" i="2"/>
  <c r="C1155" i="2" s="1"/>
  <c r="B295" i="2"/>
  <c r="C295" i="2" s="1"/>
  <c r="D1350" i="2"/>
  <c r="B866" i="2"/>
  <c r="C866" i="2" s="1"/>
  <c r="E1065" i="2"/>
  <c r="B1207" i="2"/>
  <c r="C1207" i="2" s="1"/>
  <c r="E313" i="2"/>
  <c r="B1290" i="2"/>
  <c r="C1290" i="2" s="1"/>
  <c r="D1166" i="2"/>
  <c r="D224" i="2"/>
  <c r="D1065" i="2"/>
  <c r="B1377" i="2"/>
  <c r="C1377" i="2" s="1"/>
  <c r="D316" i="2"/>
  <c r="B828" i="2"/>
  <c r="C828" i="2" s="1"/>
  <c r="B260" i="2"/>
  <c r="C260" i="2" s="1"/>
  <c r="E786" i="2"/>
  <c r="E679" i="2"/>
  <c r="B1071" i="2"/>
  <c r="C1071" i="2" s="1"/>
  <c r="B975" i="2"/>
  <c r="C975" i="2" s="1"/>
  <c r="P1386" i="2"/>
  <c r="Q1386" i="2" s="1"/>
  <c r="S1386" i="2" s="1"/>
  <c r="D634" i="2"/>
  <c r="B805" i="2"/>
  <c r="C805" i="2" s="1"/>
  <c r="D794" i="2"/>
  <c r="E588" i="2"/>
  <c r="D306" i="2"/>
  <c r="P226" i="2"/>
  <c r="Q226" i="2" s="1"/>
  <c r="S226" i="2" s="1"/>
  <c r="E1476" i="2"/>
  <c r="B1081" i="2"/>
  <c r="C1081" i="2" s="1"/>
  <c r="P487" i="2"/>
  <c r="Q487" i="2" s="1"/>
  <c r="S487" i="2" s="1"/>
  <c r="D1222" i="2"/>
  <c r="B935" i="2"/>
  <c r="C935" i="2" s="1"/>
  <c r="D981" i="2"/>
  <c r="D1150" i="2"/>
  <c r="E1591" i="2"/>
  <c r="E1202" i="2"/>
  <c r="B454" i="2"/>
  <c r="C454" i="2" s="1"/>
  <c r="E1218" i="2"/>
  <c r="D1414" i="2"/>
  <c r="E1478" i="2"/>
  <c r="E1121" i="2"/>
  <c r="D1129" i="2"/>
  <c r="E1395" i="2"/>
  <c r="D1272" i="2"/>
  <c r="D442" i="2"/>
  <c r="D961" i="2"/>
  <c r="D1009" i="2"/>
  <c r="E317" i="2"/>
  <c r="D591" i="2"/>
  <c r="E1168" i="2"/>
  <c r="D1598" i="2"/>
  <c r="P900" i="2"/>
  <c r="Q900" i="2" s="1"/>
  <c r="S900" i="2" s="1"/>
  <c r="P825" i="2"/>
  <c r="Q825" i="2" s="1"/>
  <c r="S825" i="2" s="1"/>
  <c r="P941" i="2"/>
  <c r="Q941" i="2" s="1"/>
  <c r="S941" i="2" s="1"/>
  <c r="D1340" i="2"/>
  <c r="B387" i="2"/>
  <c r="C387" i="2" s="1"/>
  <c r="D1551" i="2"/>
  <c r="B1070" i="2"/>
  <c r="C1070" i="2" s="1"/>
  <c r="P595" i="2"/>
  <c r="Q595" i="2" s="1"/>
  <c r="S595" i="2" s="1"/>
  <c r="D772" i="2"/>
  <c r="E249" i="2"/>
  <c r="P349" i="2"/>
  <c r="Q349" i="2" s="1"/>
  <c r="S349" i="2" s="1"/>
  <c r="B1459" i="2"/>
  <c r="C1459" i="2" s="1"/>
  <c r="D675" i="2"/>
  <c r="E888" i="2"/>
  <c r="E595" i="2"/>
  <c r="B578" i="2"/>
  <c r="C578" i="2" s="1"/>
  <c r="B556" i="2"/>
  <c r="C556" i="2" s="1"/>
  <c r="E232" i="2"/>
  <c r="B1118" i="2"/>
  <c r="C1118" i="2" s="1"/>
  <c r="B799" i="2"/>
  <c r="C799" i="2" s="1"/>
  <c r="E304" i="2"/>
  <c r="B1428" i="2"/>
  <c r="C1428" i="2" s="1"/>
  <c r="E1537" i="2"/>
  <c r="E299" i="2"/>
  <c r="B546" i="2"/>
  <c r="C546" i="2" s="1"/>
  <c r="E494" i="2"/>
  <c r="E1468" i="2"/>
  <c r="B490" i="2"/>
  <c r="C490" i="2" s="1"/>
  <c r="B1386" i="2"/>
  <c r="C1386" i="2" s="1"/>
  <c r="D1463" i="2"/>
  <c r="B319" i="2"/>
  <c r="C319" i="2" s="1"/>
  <c r="E347" i="2"/>
  <c r="E1462" i="2"/>
  <c r="B231" i="2"/>
  <c r="C231" i="2" s="1"/>
  <c r="D1546" i="2"/>
  <c r="E1590" i="2"/>
  <c r="E491" i="2"/>
  <c r="D483" i="2"/>
  <c r="B605" i="2"/>
  <c r="C605" i="2" s="1"/>
  <c r="D1386" i="2"/>
  <c r="B1412" i="2"/>
  <c r="C1412" i="2" s="1"/>
  <c r="D1391" i="2"/>
  <c r="E1393" i="2"/>
  <c r="D746" i="2"/>
  <c r="E1315" i="2"/>
  <c r="D1240" i="2"/>
  <c r="B521" i="2"/>
  <c r="C521" i="2" s="1"/>
  <c r="D1542" i="2"/>
  <c r="B1227" i="2"/>
  <c r="C1227" i="2" s="1"/>
  <c r="B1456" i="2"/>
  <c r="C1456" i="2" s="1"/>
  <c r="B1340" i="2"/>
  <c r="C1340" i="2" s="1"/>
  <c r="B1502" i="2"/>
  <c r="C1502" i="2" s="1"/>
  <c r="E401" i="2"/>
  <c r="B961" i="2"/>
  <c r="C961" i="2" s="1"/>
  <c r="E1446" i="2"/>
  <c r="B1498" i="2"/>
  <c r="C1498" i="2" s="1"/>
  <c r="D1507" i="2"/>
  <c r="E1372" i="2"/>
  <c r="E1125" i="2"/>
  <c r="E864" i="2"/>
  <c r="E1542" i="2"/>
  <c r="D252" i="2"/>
  <c r="E1316" i="2"/>
  <c r="E852" i="2"/>
  <c r="E1273" i="2"/>
  <c r="E1337" i="2"/>
  <c r="E274" i="2"/>
  <c r="B1254" i="2"/>
  <c r="C1254" i="2" s="1"/>
  <c r="B1349" i="2"/>
  <c r="C1349" i="2" s="1"/>
  <c r="D1234" i="2"/>
  <c r="D364" i="2"/>
  <c r="D1363" i="2"/>
  <c r="D1154" i="2"/>
  <c r="B602" i="2"/>
  <c r="C602" i="2" s="1"/>
  <c r="B688" i="2"/>
  <c r="C688" i="2" s="1"/>
  <c r="P1325" i="2"/>
  <c r="Q1325" i="2" s="1"/>
  <c r="S1325" i="2" s="1"/>
  <c r="E1543" i="2"/>
  <c r="P322" i="2"/>
  <c r="Q322" i="2" s="1"/>
  <c r="S322" i="2" s="1"/>
  <c r="P1535" i="2"/>
  <c r="B1282" i="2"/>
  <c r="C1282" i="2" s="1"/>
  <c r="E1155" i="2"/>
  <c r="B272" i="2"/>
  <c r="C272" i="2" s="1"/>
  <c r="B1489" i="2"/>
  <c r="C1489" i="2" s="1"/>
  <c r="B1339" i="2"/>
  <c r="C1339" i="2" s="1"/>
  <c r="B475" i="2"/>
  <c r="C475" i="2" s="1"/>
  <c r="E1485" i="2"/>
  <c r="E1193" i="2"/>
  <c r="E1058" i="2"/>
  <c r="D290" i="2"/>
  <c r="E1025" i="2"/>
  <c r="P1518" i="2"/>
  <c r="Q1518" i="2" s="1"/>
  <c r="S1518" i="2" s="1"/>
  <c r="V1518" i="2" s="1"/>
  <c r="D497" i="2"/>
  <c r="E763" i="2"/>
  <c r="B551" i="2"/>
  <c r="C551" i="2" s="1"/>
  <c r="E813" i="2"/>
  <c r="D470" i="2"/>
  <c r="B275" i="2"/>
  <c r="C275" i="2" s="1"/>
  <c r="B918" i="2"/>
  <c r="C918" i="2" s="1"/>
  <c r="D999" i="2"/>
  <c r="E1460" i="2"/>
  <c r="D824" i="2"/>
  <c r="B224" i="2"/>
  <c r="C224" i="2" s="1"/>
  <c r="D522" i="2"/>
  <c r="B281" i="2"/>
  <c r="C281" i="2" s="1"/>
  <c r="B1319" i="2"/>
  <c r="C1319" i="2" s="1"/>
  <c r="D1347" i="2"/>
  <c r="E1335" i="2"/>
  <c r="D778" i="2"/>
  <c r="D1290" i="2"/>
  <c r="D505" i="2"/>
  <c r="D1003" i="2"/>
  <c r="D1087" i="2"/>
  <c r="B849" i="2"/>
  <c r="C849" i="2" s="1"/>
  <c r="D421" i="2"/>
  <c r="D438" i="2"/>
  <c r="D1044" i="2"/>
  <c r="E550" i="2"/>
  <c r="E912" i="2"/>
  <c r="B1064" i="2"/>
  <c r="C1064" i="2" s="1"/>
  <c r="E642" i="2"/>
  <c r="B1030" i="2"/>
  <c r="C1030" i="2" s="1"/>
  <c r="B1279" i="2"/>
  <c r="C1279" i="2" s="1"/>
  <c r="B1109" i="2"/>
  <c r="C1109" i="2" s="1"/>
  <c r="B448" i="2"/>
  <c r="C448" i="2" s="1"/>
  <c r="E283" i="2"/>
  <c r="B1221" i="2"/>
  <c r="C1221" i="2" s="1"/>
  <c r="B1327" i="2"/>
  <c r="C1327" i="2" s="1"/>
  <c r="D1253" i="2"/>
  <c r="B797" i="2"/>
  <c r="C797" i="2" s="1"/>
  <c r="B648" i="2"/>
  <c r="C648" i="2" s="1"/>
  <c r="B991" i="2"/>
  <c r="C991" i="2" s="1"/>
  <c r="B808" i="2"/>
  <c r="C808" i="2" s="1"/>
  <c r="B911" i="2"/>
  <c r="C911" i="2" s="1"/>
  <c r="D386" i="2"/>
  <c r="E410" i="2"/>
  <c r="D808" i="2"/>
  <c r="B1067" i="2"/>
  <c r="C1067" i="2" s="1"/>
  <c r="D662" i="2"/>
  <c r="E1373" i="2"/>
  <c r="E636" i="2"/>
  <c r="E843" i="2"/>
  <c r="E361" i="2"/>
  <c r="D908" i="2"/>
  <c r="E967" i="2"/>
  <c r="E829" i="2"/>
  <c r="D739" i="2"/>
  <c r="D729" i="2"/>
  <c r="E916" i="2"/>
  <c r="D1074" i="2"/>
  <c r="B574" i="2"/>
  <c r="C574" i="2" s="1"/>
  <c r="E1601" i="2"/>
  <c r="B305" i="2"/>
  <c r="C305" i="2" s="1"/>
  <c r="B651" i="2"/>
  <c r="C651" i="2" s="1"/>
  <c r="E1602" i="2"/>
  <c r="B323" i="2"/>
  <c r="C323" i="2" s="1"/>
  <c r="E1132" i="2"/>
  <c r="E1044" i="2"/>
  <c r="D721" i="2"/>
  <c r="E1250" i="2"/>
  <c r="E1007" i="2"/>
  <c r="B1466" i="2"/>
  <c r="C1466" i="2" s="1"/>
  <c r="B1336" i="2"/>
  <c r="C1336" i="2" s="1"/>
  <c r="E308" i="2"/>
  <c r="B1317" i="2"/>
  <c r="C1317" i="2" s="1"/>
  <c r="B877" i="2"/>
  <c r="C877" i="2" s="1"/>
  <c r="B910" i="2"/>
  <c r="C910" i="2" s="1"/>
  <c r="E1533" i="2"/>
  <c r="E804" i="2"/>
  <c r="B1216" i="2"/>
  <c r="C1216" i="2" s="1"/>
  <c r="E1160" i="2"/>
  <c r="E386" i="2"/>
  <c r="D1066" i="2"/>
  <c r="D681" i="2"/>
  <c r="P1388" i="2"/>
  <c r="Q1388" i="2" s="1"/>
  <c r="S1388" i="2" s="1"/>
  <c r="P795" i="2"/>
  <c r="Q795" i="2" s="1"/>
  <c r="S795" i="2" s="1"/>
  <c r="B1177" i="2"/>
  <c r="C1177" i="2" s="1"/>
  <c r="D593" i="2"/>
  <c r="E261" i="2"/>
  <c r="E270" i="2"/>
  <c r="E776" i="2"/>
  <c r="B587" i="2"/>
  <c r="C587" i="2" s="1"/>
  <c r="E1012" i="2"/>
  <c r="D638" i="2"/>
  <c r="E1479" i="2"/>
  <c r="D1569" i="2"/>
  <c r="D482" i="2"/>
  <c r="D1069" i="2"/>
  <c r="B1382" i="2"/>
  <c r="C1382" i="2" s="1"/>
  <c r="B1251" i="2"/>
  <c r="C1251" i="2" s="1"/>
  <c r="E1523" i="2"/>
  <c r="B1515" i="2"/>
  <c r="C1515" i="2" s="1"/>
  <c r="D1415" i="2"/>
  <c r="P1519" i="2"/>
  <c r="Q1519" i="2" s="1"/>
  <c r="S1519" i="2" s="1"/>
  <c r="V1519" i="2" s="1"/>
  <c r="P790" i="2"/>
  <c r="Q790" i="2" s="1"/>
  <c r="S790" i="2" s="1"/>
  <c r="E1515" i="2"/>
  <c r="P354" i="2"/>
  <c r="Q354" i="2" s="1"/>
  <c r="S354" i="2" s="1"/>
  <c r="P227" i="2"/>
  <c r="Q227" i="2" s="1"/>
  <c r="S227" i="2" s="1"/>
  <c r="D585" i="2"/>
  <c r="D1410" i="2"/>
  <c r="D1563" i="2"/>
  <c r="D832" i="2"/>
  <c r="D299" i="2"/>
  <c r="P1320" i="2"/>
  <c r="Q1320" i="2" s="1"/>
  <c r="S1320" i="2" s="1"/>
  <c r="D339" i="2"/>
  <c r="P907" i="2"/>
  <c r="Q907" i="2" s="1"/>
  <c r="S907" i="2" s="1"/>
  <c r="P1464" i="2"/>
  <c r="Q1464" i="2" s="1"/>
  <c r="S1464" i="2" s="1"/>
  <c r="B1379" i="2"/>
  <c r="C1379" i="2" s="1"/>
  <c r="D712" i="2"/>
  <c r="B637" i="2"/>
  <c r="C637" i="2" s="1"/>
  <c r="E1334" i="2"/>
  <c r="D1362" i="2"/>
  <c r="D760" i="2"/>
  <c r="D378" i="2"/>
  <c r="E235" i="2"/>
  <c r="P1324" i="2"/>
  <c r="Q1324" i="2" s="1"/>
  <c r="S1324" i="2" s="1"/>
  <c r="D592" i="2"/>
  <c r="B883" i="2"/>
  <c r="C883" i="2" s="1"/>
  <c r="B625" i="2"/>
  <c r="C625" i="2" s="1"/>
  <c r="D1561" i="2"/>
  <c r="E989" i="2"/>
  <c r="D1247" i="2"/>
  <c r="B1213" i="2"/>
  <c r="C1213" i="2" s="1"/>
  <c r="E766" i="2"/>
  <c r="B823" i="2"/>
  <c r="C823" i="2" s="1"/>
  <c r="D518" i="2"/>
  <c r="D1398" i="2"/>
  <c r="E1223" i="2"/>
  <c r="B685" i="2"/>
  <c r="C685" i="2" s="1"/>
  <c r="D1148" i="2"/>
  <c r="E876" i="2"/>
  <c r="D570" i="2"/>
  <c r="D883" i="2"/>
  <c r="E1304" i="2"/>
  <c r="B1345" i="2"/>
  <c r="C1345" i="2" s="1"/>
  <c r="B1058" i="2"/>
  <c r="C1058" i="2" s="1"/>
  <c r="B989" i="2"/>
  <c r="C989" i="2" s="1"/>
  <c r="B874" i="2"/>
  <c r="C874" i="2" s="1"/>
  <c r="D259" i="2"/>
  <c r="D1446" i="2"/>
  <c r="B1371" i="2"/>
  <c r="C1371" i="2" s="1"/>
  <c r="B1008" i="2"/>
  <c r="C1008" i="2" s="1"/>
  <c r="B1488" i="2"/>
  <c r="C1488" i="2" s="1"/>
  <c r="E1300" i="2"/>
  <c r="B377" i="2"/>
  <c r="C377" i="2" s="1"/>
  <c r="B1150" i="2"/>
  <c r="C1150" i="2" s="1"/>
  <c r="E1342" i="2"/>
  <c r="D1573" i="2"/>
  <c r="B913" i="2"/>
  <c r="C913" i="2" s="1"/>
  <c r="B927" i="2"/>
  <c r="C927" i="2" s="1"/>
  <c r="D1396" i="2"/>
  <c r="E1465" i="2"/>
  <c r="B647" i="2"/>
  <c r="C647" i="2" s="1"/>
  <c r="B408" i="2"/>
  <c r="C408" i="2" s="1"/>
  <c r="B803" i="2"/>
  <c r="C803" i="2" s="1"/>
  <c r="D1500" i="2"/>
  <c r="B663" i="2"/>
  <c r="C663" i="2" s="1"/>
  <c r="E1109" i="2"/>
  <c r="B612" i="2"/>
  <c r="C612" i="2" s="1"/>
  <c r="B1433" i="2"/>
  <c r="C1433" i="2" s="1"/>
  <c r="D1434" i="2"/>
  <c r="D1457" i="2"/>
  <c r="D340" i="2"/>
  <c r="D529" i="2"/>
  <c r="E1134" i="2"/>
  <c r="E672" i="2"/>
  <c r="D504" i="2"/>
  <c r="B354" i="2"/>
  <c r="C354" i="2" s="1"/>
  <c r="D1513" i="2"/>
  <c r="D679" i="2"/>
  <c r="B1467" i="2"/>
  <c r="C1467" i="2" s="1"/>
  <c r="D291" i="2"/>
  <c r="E859" i="2"/>
  <c r="E1469" i="2"/>
  <c r="B560" i="2"/>
  <c r="C560" i="2" s="1"/>
  <c r="E822" i="2"/>
  <c r="D745" i="2"/>
  <c r="E637" i="2"/>
  <c r="D685" i="2"/>
  <c r="D879" i="2"/>
  <c r="E1484" i="2"/>
  <c r="E687" i="2"/>
  <c r="E473" i="2"/>
  <c r="P1340" i="2"/>
  <c r="P572" i="2"/>
  <c r="B1170" i="2"/>
  <c r="C1170" i="2" s="1"/>
  <c r="D315" i="2"/>
  <c r="B1097" i="2"/>
  <c r="C1097" i="2" s="1"/>
  <c r="D526" i="2"/>
  <c r="D1519" i="2"/>
  <c r="E1417" i="2"/>
  <c r="P1342" i="2"/>
  <c r="Q1342" i="2" s="1"/>
  <c r="S1342" i="2" s="1"/>
  <c r="B1092" i="2"/>
  <c r="C1092" i="2" s="1"/>
  <c r="B373" i="2"/>
  <c r="C373" i="2" s="1"/>
  <c r="D276" i="2"/>
  <c r="D697" i="2"/>
  <c r="D963" i="2"/>
  <c r="D914" i="2"/>
  <c r="B1389" i="2"/>
  <c r="C1389" i="2" s="1"/>
  <c r="E949" i="2"/>
  <c r="P585" i="2"/>
  <c r="Q585" i="2" s="1"/>
  <c r="S585" i="2" s="1"/>
  <c r="E1256" i="2"/>
  <c r="P869" i="2"/>
  <c r="Q869" i="2" s="1"/>
  <c r="S869" i="2" s="1"/>
  <c r="E1579" i="2"/>
  <c r="B1074" i="2"/>
  <c r="C1074" i="2" s="1"/>
  <c r="E1054" i="2"/>
  <c r="D520" i="2"/>
  <c r="D949" i="2"/>
  <c r="B1318" i="2"/>
  <c r="C1318" i="2" s="1"/>
  <c r="D528" i="2"/>
  <c r="D595" i="2"/>
  <c r="B1274" i="2"/>
  <c r="C1274" i="2" s="1"/>
  <c r="D821" i="2"/>
  <c r="E1600" i="2"/>
  <c r="E1493" i="2"/>
  <c r="P1114" i="2"/>
  <c r="Q1114" i="2" s="1"/>
  <c r="S1114" i="2" s="1"/>
  <c r="D1152" i="2"/>
  <c r="E1551" i="2"/>
  <c r="B617" i="2"/>
  <c r="C617" i="2" s="1"/>
  <c r="B1011" i="2"/>
  <c r="C1011" i="2" s="1"/>
  <c r="D493" i="2"/>
  <c r="E338" i="2"/>
  <c r="D432" i="2"/>
  <c r="P1220" i="2"/>
  <c r="Q1220" i="2" s="1"/>
  <c r="S1220" i="2" s="1"/>
  <c r="E1348" i="2"/>
  <c r="E1066" i="2"/>
  <c r="B1084" i="2"/>
  <c r="C1084" i="2" s="1"/>
  <c r="B741" i="2"/>
  <c r="C741" i="2" s="1"/>
  <c r="D1387" i="2"/>
  <c r="D395" i="2"/>
  <c r="E1291" i="2"/>
  <c r="B644" i="2"/>
  <c r="C644" i="2" s="1"/>
  <c r="E884" i="2"/>
  <c r="B459" i="2"/>
  <c r="C459" i="2" s="1"/>
  <c r="D1151" i="2"/>
  <c r="E1212" i="2"/>
  <c r="E963" i="2"/>
  <c r="D277" i="2"/>
  <c r="D383" i="2"/>
  <c r="E1593" i="2"/>
  <c r="D563" i="2"/>
  <c r="E641" i="2"/>
  <c r="E452" i="2"/>
  <c r="B844" i="2"/>
  <c r="C844" i="2" s="1"/>
  <c r="D624" i="2"/>
  <c r="B707" i="2"/>
  <c r="C707" i="2" s="1"/>
  <c r="E764" i="2"/>
  <c r="B1553" i="2"/>
  <c r="C1553" i="2" s="1"/>
  <c r="B239" i="2"/>
  <c r="C239" i="2" s="1"/>
  <c r="B1110" i="2"/>
  <c r="C1110" i="2" s="1"/>
  <c r="B1384" i="2"/>
  <c r="C1384" i="2" s="1"/>
  <c r="E1392" i="2"/>
  <c r="E234" i="2"/>
  <c r="E1553" i="2"/>
  <c r="E1100" i="2"/>
  <c r="B1527" i="2"/>
  <c r="C1527" i="2" s="1"/>
  <c r="D1454" i="2"/>
  <c r="D896" i="2"/>
  <c r="D1085" i="2"/>
  <c r="D1499" i="2"/>
  <c r="B416" i="2"/>
  <c r="C416" i="2" s="1"/>
  <c r="B942" i="2"/>
  <c r="C942" i="2" s="1"/>
  <c r="E495" i="2"/>
  <c r="E1324" i="2"/>
  <c r="D1438" i="2"/>
  <c r="B287" i="2"/>
  <c r="C287" i="2" s="1"/>
  <c r="B1419" i="2"/>
  <c r="C1419" i="2" s="1"/>
  <c r="D905" i="2"/>
  <c r="D860" i="2"/>
  <c r="D1072" i="2"/>
  <c r="D1382" i="2"/>
  <c r="B691" i="2"/>
  <c r="C691" i="2" s="1"/>
  <c r="E1398" i="2"/>
  <c r="D1603" i="2"/>
  <c r="B640" i="2"/>
  <c r="C640" i="2" s="1"/>
  <c r="B753" i="2"/>
  <c r="C753" i="2" s="1"/>
  <c r="E974" i="2"/>
  <c r="B1461" i="2"/>
  <c r="C1461" i="2" s="1"/>
  <c r="D1466" i="2"/>
  <c r="E657" i="2"/>
  <c r="D532" i="2"/>
  <c r="B403" i="2"/>
  <c r="C403" i="2" s="1"/>
  <c r="D1001" i="2"/>
  <c r="D1478" i="2"/>
  <c r="E1451" i="2"/>
  <c r="E1022" i="2"/>
  <c r="B1590" i="2"/>
  <c r="C1590" i="2" s="1"/>
  <c r="B1294" i="2"/>
  <c r="C1294" i="2" s="1"/>
  <c r="P1090" i="2"/>
  <c r="Q1090" i="2" s="1"/>
  <c r="S1090" i="2" s="1"/>
  <c r="P522" i="2"/>
  <c r="B1072" i="2"/>
  <c r="C1072" i="2" s="1"/>
  <c r="B1522" i="2"/>
  <c r="C1522" i="2" s="1"/>
  <c r="B270" i="2"/>
  <c r="C270" i="2" s="1"/>
  <c r="E866" i="2"/>
  <c r="D972" i="2"/>
  <c r="E1194" i="2"/>
  <c r="D656" i="2"/>
  <c r="B290" i="2"/>
  <c r="C290" i="2" s="1"/>
  <c r="E1481" i="2"/>
  <c r="B1151" i="2"/>
  <c r="C1151" i="2" s="1"/>
  <c r="B955" i="2"/>
  <c r="C955" i="2" s="1"/>
  <c r="P1543" i="2"/>
  <c r="Q1543" i="2" s="1"/>
  <c r="S1543" i="2" s="1"/>
  <c r="V1543" i="2" s="1"/>
  <c r="P247" i="2"/>
  <c r="Q247" i="2" s="1"/>
  <c r="S247" i="2" s="1"/>
  <c r="D790" i="2"/>
  <c r="D995" i="2"/>
  <c r="E1578" i="2"/>
  <c r="B1573" i="2"/>
  <c r="C1573" i="2" s="1"/>
  <c r="D458" i="2"/>
  <c r="D795" i="2"/>
  <c r="D1535" i="2"/>
  <c r="D1147" i="2"/>
  <c r="D922" i="2"/>
  <c r="D1260" i="2"/>
  <c r="B829" i="2"/>
  <c r="C829" i="2" s="1"/>
  <c r="D1376" i="2"/>
  <c r="B1123" i="2"/>
  <c r="C1123" i="2" s="1"/>
  <c r="B348" i="2"/>
  <c r="C348" i="2" s="1"/>
  <c r="B933" i="2"/>
  <c r="C933" i="2" s="1"/>
  <c r="E474" i="2"/>
  <c r="E1545" i="2"/>
  <c r="D939" i="2"/>
  <c r="E399" i="2"/>
  <c r="P754" i="2"/>
  <c r="Q754" i="2" s="1"/>
  <c r="S754" i="2" s="1"/>
  <c r="B339" i="2"/>
  <c r="C339" i="2" s="1"/>
  <c r="B681" i="2"/>
  <c r="C681" i="2" s="1"/>
  <c r="D540" i="2"/>
  <c r="E762" i="2"/>
  <c r="D627" i="2"/>
  <c r="P1219" i="2"/>
  <c r="Q1219" i="2" s="1"/>
  <c r="S1219" i="2" s="1"/>
  <c r="E645" i="2"/>
  <c r="E1219" i="2"/>
  <c r="D406" i="2"/>
  <c r="E1588" i="2"/>
  <c r="D1075" i="2"/>
  <c r="E448" i="2"/>
  <c r="D588" i="2"/>
  <c r="B1089" i="2"/>
  <c r="C1089" i="2" s="1"/>
  <c r="B832" i="2"/>
  <c r="C832" i="2" s="1"/>
  <c r="B898" i="2"/>
  <c r="C898" i="2" s="1"/>
  <c r="B926" i="2"/>
  <c r="C926" i="2" s="1"/>
  <c r="E659" i="2"/>
  <c r="E960" i="2"/>
  <c r="D871" i="2"/>
  <c r="D447" i="2"/>
  <c r="D868" i="2"/>
  <c r="E289" i="2"/>
  <c r="B1479" i="2"/>
  <c r="C1479" i="2" s="1"/>
  <c r="E610" i="2"/>
  <c r="E879" i="2"/>
  <c r="B449" i="2"/>
  <c r="C449" i="2" s="1"/>
  <c r="E1531" i="2"/>
  <c r="E1403" i="2"/>
  <c r="E783" i="2"/>
  <c r="B529" i="2"/>
  <c r="C529" i="2" s="1"/>
  <c r="D1135" i="2"/>
  <c r="D945" i="2"/>
  <c r="D270" i="2"/>
  <c r="B575" i="2"/>
  <c r="C575" i="2" s="1"/>
  <c r="D1146" i="2"/>
  <c r="E1294" i="2"/>
  <c r="D1208" i="2"/>
  <c r="B411" i="2"/>
  <c r="C411" i="2" s="1"/>
  <c r="E1015" i="2"/>
  <c r="B1022" i="2"/>
  <c r="C1022" i="2" s="1"/>
  <c r="D1365" i="2"/>
  <c r="B299" i="2"/>
  <c r="C299" i="2" s="1"/>
  <c r="E336" i="2"/>
  <c r="D1408" i="2"/>
  <c r="E1464" i="2"/>
  <c r="B1415" i="2"/>
  <c r="C1415" i="2" s="1"/>
  <c r="E335" i="2"/>
  <c r="D903" i="2"/>
  <c r="B1285" i="2"/>
  <c r="C1285" i="2" s="1"/>
  <c r="B1241" i="2"/>
  <c r="C1241" i="2" s="1"/>
  <c r="D942" i="2"/>
  <c r="E980" i="2"/>
  <c r="E1067" i="2"/>
  <c r="D1314" i="2"/>
  <c r="D1317" i="2"/>
  <c r="B1398" i="2"/>
  <c r="C1398" i="2" s="1"/>
  <c r="E1429" i="2"/>
  <c r="E1547" i="2"/>
  <c r="D761" i="2"/>
  <c r="D1440" i="2"/>
  <c r="B1510" i="2"/>
  <c r="C1510" i="2" s="1"/>
  <c r="D1227" i="2"/>
  <c r="E519" i="2"/>
  <c r="D959" i="2"/>
  <c r="D955" i="2"/>
  <c r="D1169" i="2"/>
  <c r="D419" i="2"/>
  <c r="E846" i="2"/>
  <c r="D1359" i="2"/>
  <c r="P485" i="2"/>
  <c r="Q485" i="2" s="1"/>
  <c r="S485" i="2" s="1"/>
  <c r="E1445" i="2"/>
  <c r="B820" i="2"/>
  <c r="C820" i="2" s="1"/>
  <c r="E342" i="2"/>
  <c r="E437" i="2"/>
  <c r="B655" i="2"/>
  <c r="C655" i="2" s="1"/>
  <c r="D1131" i="2"/>
  <c r="E1303" i="2"/>
  <c r="D435" i="2"/>
  <c r="E969" i="2"/>
  <c r="E228" i="2"/>
  <c r="E1154" i="2"/>
  <c r="E935" i="2"/>
  <c r="E1117" i="2"/>
  <c r="E1072" i="2"/>
  <c r="E794" i="2"/>
  <c r="D642" i="2"/>
  <c r="D474" i="2"/>
  <c r="D453" i="2"/>
  <c r="B444" i="2"/>
  <c r="C444" i="2" s="1"/>
  <c r="P904" i="2"/>
  <c r="Q904" i="2" s="1"/>
  <c r="S904" i="2" s="1"/>
  <c r="E1480" i="2"/>
  <c r="P1207" i="2"/>
  <c r="Q1207" i="2" s="1"/>
  <c r="S1207" i="2" s="1"/>
  <c r="E1085" i="2"/>
  <c r="E484" i="2"/>
  <c r="B1589" i="2"/>
  <c r="C1589" i="2" s="1"/>
  <c r="D475" i="2"/>
  <c r="D1302" i="2"/>
  <c r="B1499" i="2"/>
  <c r="C1499" i="2" s="1"/>
  <c r="E695" i="2"/>
  <c r="E952" i="2"/>
  <c r="P794" i="2"/>
  <c r="Q794" i="2" s="1"/>
  <c r="S794" i="2" s="1"/>
  <c r="E1440" i="2"/>
  <c r="E402" i="2"/>
  <c r="D336" i="2"/>
  <c r="B335" i="2"/>
  <c r="C335" i="2" s="1"/>
  <c r="B981" i="2"/>
  <c r="C981" i="2" s="1"/>
  <c r="D1354" i="2"/>
  <c r="B888" i="2"/>
  <c r="C888" i="2" s="1"/>
  <c r="D1268" i="2"/>
  <c r="D1133" i="2"/>
  <c r="D1136" i="2"/>
  <c r="D1239" i="2"/>
  <c r="P353" i="2"/>
  <c r="Q353" i="2" s="1"/>
  <c r="S353" i="2" s="1"/>
  <c r="D758" i="2"/>
  <c r="B1464" i="2"/>
  <c r="C1464" i="2" s="1"/>
  <c r="B758" i="2"/>
  <c r="C758" i="2" s="1"/>
  <c r="D1430" i="2"/>
  <c r="D1101" i="2"/>
  <c r="B334" i="2"/>
  <c r="C334" i="2" s="1"/>
  <c r="B666" i="2"/>
  <c r="C666" i="2" s="1"/>
  <c r="B329" i="2"/>
  <c r="C329" i="2" s="1"/>
  <c r="B1359" i="2"/>
  <c r="C1359" i="2" s="1"/>
  <c r="B917" i="2"/>
  <c r="C917" i="2" s="1"/>
  <c r="E1308" i="2"/>
  <c r="E254" i="2"/>
  <c r="D242" i="2"/>
  <c r="D931" i="2"/>
  <c r="E788" i="2"/>
  <c r="D1339" i="2"/>
  <c r="D994" i="2"/>
  <c r="B393" i="2"/>
  <c r="C393" i="2" s="1"/>
  <c r="D774" i="2"/>
  <c r="D534" i="2"/>
  <c r="D1471" i="2"/>
  <c r="E1102" i="2"/>
  <c r="B1236" i="2"/>
  <c r="C1236" i="2" s="1"/>
  <c r="D283" i="2"/>
  <c r="E1564" i="2"/>
  <c r="B845" i="2"/>
  <c r="C845" i="2" s="1"/>
  <c r="D368" i="2"/>
  <c r="D1583" i="2"/>
  <c r="B626" i="2"/>
  <c r="C626" i="2" s="1"/>
  <c r="D926" i="2"/>
  <c r="D1493" i="2"/>
  <c r="D779" i="2"/>
  <c r="B1447" i="2"/>
  <c r="C1447" i="2" s="1"/>
  <c r="E1378" i="2"/>
  <c r="D1529" i="2"/>
  <c r="D408" i="2"/>
  <c r="E527" i="2"/>
  <c r="D1336" i="2"/>
  <c r="E292" i="2"/>
  <c r="E626" i="2"/>
  <c r="E345" i="2"/>
  <c r="D1112" i="2"/>
  <c r="B634" i="2"/>
  <c r="C634" i="2" s="1"/>
  <c r="B1209" i="2"/>
  <c r="C1209" i="2" s="1"/>
  <c r="D1344" i="2"/>
  <c r="D1510" i="2"/>
  <c r="B362" i="2"/>
  <c r="C362" i="2" s="1"/>
  <c r="D1256" i="2"/>
  <c r="E797" i="2"/>
  <c r="E1178" i="2"/>
  <c r="D1216" i="2"/>
  <c r="D935" i="2"/>
  <c r="E1339" i="2"/>
  <c r="D1570" i="2"/>
  <c r="D859" i="2"/>
  <c r="D328" i="2"/>
  <c r="D645" i="2"/>
  <c r="B1334" i="2"/>
  <c r="C1334" i="2" s="1"/>
  <c r="E953" i="2"/>
  <c r="E1047" i="2"/>
  <c r="B1369" i="2"/>
  <c r="C1369" i="2" s="1"/>
  <c r="B261" i="2"/>
  <c r="C261" i="2" s="1"/>
  <c r="E1136" i="2"/>
  <c r="B548" i="2"/>
  <c r="C548" i="2" s="1"/>
  <c r="B695" i="2"/>
  <c r="C695" i="2" s="1"/>
  <c r="B902" i="2"/>
  <c r="C902" i="2" s="1"/>
  <c r="D1080" i="2"/>
  <c r="P1311" i="2"/>
  <c r="Q1311" i="2" s="1"/>
  <c r="S1311" i="2" s="1"/>
  <c r="E795" i="2"/>
  <c r="B1200" i="2"/>
  <c r="C1200" i="2" s="1"/>
  <c r="D1054" i="2"/>
  <c r="B253" i="2"/>
  <c r="C253" i="2" s="1"/>
  <c r="D1157" i="2"/>
  <c r="E1574" i="2"/>
  <c r="P822" i="2"/>
  <c r="Q822" i="2" s="1"/>
  <c r="S822" i="2" s="1"/>
  <c r="E792" i="2"/>
  <c r="B1271" i="2"/>
  <c r="C1271" i="2" s="1"/>
  <c r="D1201" i="2"/>
  <c r="E648" i="2"/>
  <c r="D600" i="2"/>
  <c r="D1062" i="2"/>
  <c r="D1424" i="2"/>
  <c r="P591" i="2"/>
  <c r="Q591" i="2" s="1"/>
  <c r="S591" i="2" s="1"/>
  <c r="E713" i="2"/>
  <c r="D944" i="2"/>
  <c r="D927" i="2"/>
  <c r="B1566" i="2"/>
  <c r="C1566" i="2" s="1"/>
  <c r="D349" i="2"/>
  <c r="B1091" i="2"/>
  <c r="C1091" i="2" s="1"/>
  <c r="B398" i="2"/>
  <c r="C398" i="2" s="1"/>
  <c r="B1291" i="2"/>
  <c r="C1291" i="2" s="1"/>
  <c r="E244" i="2"/>
  <c r="E251" i="2"/>
  <c r="E743" i="2"/>
  <c r="D305" i="2"/>
  <c r="D477" i="2"/>
  <c r="B599" i="2"/>
  <c r="C599" i="2" s="1"/>
  <c r="E1073" i="2"/>
  <c r="B357" i="2"/>
  <c r="C357" i="2" s="1"/>
  <c r="E333" i="2"/>
  <c r="B566" i="2"/>
  <c r="C566" i="2" s="1"/>
  <c r="D1031" i="2"/>
  <c r="B355" i="2"/>
  <c r="C355" i="2" s="1"/>
  <c r="D647" i="2"/>
  <c r="D673" i="2"/>
  <c r="D251" i="2"/>
  <c r="D848" i="2"/>
  <c r="B1352" i="2"/>
  <c r="C1352" i="2" s="1"/>
  <c r="B770" i="2"/>
  <c r="C770" i="2" s="1"/>
  <c r="B1402" i="2"/>
  <c r="C1402" i="2" s="1"/>
  <c r="D1479" i="2"/>
  <c r="D731" i="2"/>
  <c r="E887" i="2"/>
  <c r="B312" i="2"/>
  <c r="C312" i="2" s="1"/>
  <c r="D337" i="2"/>
  <c r="E856" i="2"/>
  <c r="B1414" i="2"/>
  <c r="C1414" i="2" s="1"/>
  <c r="P914" i="2"/>
  <c r="Q914" i="2" s="1"/>
  <c r="S914" i="2" s="1"/>
  <c r="D1023" i="2"/>
  <c r="D1353" i="2"/>
  <c r="B1258" i="2"/>
  <c r="C1258" i="2" s="1"/>
  <c r="D468" i="2"/>
  <c r="D1007" i="2"/>
  <c r="B242" i="2"/>
  <c r="C242" i="2" s="1"/>
  <c r="E571" i="2"/>
  <c r="D418" i="2"/>
  <c r="D828" i="2"/>
  <c r="B1603" i="2"/>
  <c r="C1603" i="2" s="1"/>
  <c r="D1164" i="2"/>
  <c r="B1032" i="2"/>
  <c r="C1032" i="2" s="1"/>
  <c r="D735" i="2"/>
  <c r="B842" i="2"/>
  <c r="C842" i="2" s="1"/>
  <c r="B251" i="2"/>
  <c r="C251" i="2" s="1"/>
  <c r="E895" i="2"/>
  <c r="E1548" i="2"/>
  <c r="B1323" i="2"/>
  <c r="C1323" i="2" s="1"/>
  <c r="B481" i="2"/>
  <c r="C481" i="2" s="1"/>
  <c r="D1017" i="2"/>
  <c r="B1424" i="2"/>
  <c r="C1424" i="2" s="1"/>
  <c r="B771" i="2"/>
  <c r="C771" i="2" s="1"/>
  <c r="B349" i="2"/>
  <c r="C349" i="2" s="1"/>
  <c r="B1597" i="2"/>
  <c r="C1597" i="2" s="1"/>
  <c r="B909" i="2"/>
  <c r="C909" i="2" s="1"/>
  <c r="B1193" i="2"/>
  <c r="C1193" i="2" s="1"/>
  <c r="D1073" i="2"/>
  <c r="E847" i="2"/>
  <c r="B756" i="2"/>
  <c r="C756" i="2" s="1"/>
  <c r="B477" i="2"/>
  <c r="C477" i="2" s="1"/>
  <c r="D1530" i="2"/>
  <c r="B1390" i="2"/>
  <c r="C1390" i="2" s="1"/>
  <c r="D1547" i="2"/>
  <c r="D982" i="2"/>
  <c r="D1399" i="2"/>
  <c r="E477" i="2"/>
  <c r="B970" i="2"/>
  <c r="C970" i="2" s="1"/>
  <c r="D886" i="2"/>
  <c r="P1197" i="2"/>
  <c r="Q1197" i="2" s="1"/>
  <c r="S1197" i="2" s="1"/>
  <c r="V1197" i="2" s="1"/>
  <c r="D275" i="2"/>
  <c r="B993" i="2"/>
  <c r="C993" i="2" s="1"/>
  <c r="E1448" i="2"/>
  <c r="B562" i="2"/>
  <c r="C562" i="2" s="1"/>
  <c r="D741" i="2"/>
  <c r="D1484" i="2"/>
  <c r="D875" i="2"/>
  <c r="E1455" i="2"/>
  <c r="B1133" i="2"/>
  <c r="C1133" i="2" s="1"/>
  <c r="E1204" i="2"/>
  <c r="P936" i="2"/>
  <c r="Q936" i="2" s="1"/>
  <c r="S936" i="2" s="1"/>
  <c r="P343" i="2"/>
  <c r="Q343" i="2" s="1"/>
  <c r="S343" i="2" s="1"/>
  <c r="E891" i="2"/>
  <c r="P883" i="2"/>
  <c r="E632" i="2"/>
  <c r="E241" i="2"/>
  <c r="D606" i="2"/>
  <c r="B1521" i="2"/>
  <c r="C1521" i="2" s="1"/>
  <c r="E257" i="2"/>
  <c r="B1354" i="2"/>
  <c r="C1354" i="2" s="1"/>
  <c r="D409" i="2"/>
  <c r="D262" i="2"/>
  <c r="E362" i="2"/>
  <c r="E542" i="2"/>
  <c r="B1512" i="2"/>
  <c r="C1512" i="2" s="1"/>
  <c r="D492" i="2"/>
  <c r="E714" i="2"/>
  <c r="D417" i="2"/>
  <c r="B1168" i="2"/>
  <c r="C1168" i="2" s="1"/>
  <c r="B552" i="2"/>
  <c r="C552" i="2" s="1"/>
  <c r="B510" i="2"/>
  <c r="C510" i="2" s="1"/>
  <c r="D709" i="2"/>
  <c r="P367" i="2"/>
  <c r="Q367" i="2" s="1"/>
  <c r="S367" i="2" s="1"/>
  <c r="D560" i="2"/>
  <c r="B559" i="2"/>
  <c r="C559" i="2" s="1"/>
  <c r="B535" i="2"/>
  <c r="C535" i="2" s="1"/>
  <c r="B783" i="2"/>
  <c r="C783" i="2" s="1"/>
  <c r="B650" i="2"/>
  <c r="C650" i="2" s="1"/>
  <c r="P1318" i="2"/>
  <c r="Q1318" i="2" s="1"/>
  <c r="S1318" i="2" s="1"/>
  <c r="E1137" i="2"/>
  <c r="B284" i="2"/>
  <c r="C284" i="2" s="1"/>
  <c r="D552" i="2"/>
  <c r="D1379" i="2"/>
  <c r="E1467" i="2"/>
  <c r="D1447" i="2"/>
  <c r="D1321" i="2"/>
  <c r="B501" i="2"/>
  <c r="C501" i="2" s="1"/>
  <c r="D823" i="2"/>
  <c r="E315" i="2"/>
  <c r="B718" i="2"/>
  <c r="C718" i="2" s="1"/>
  <c r="D1306" i="2"/>
  <c r="D706" i="2"/>
  <c r="D377" i="2"/>
  <c r="D271" i="2"/>
  <c r="B886" i="2"/>
  <c r="C886" i="2" s="1"/>
  <c r="E827" i="2"/>
  <c r="E578" i="2"/>
  <c r="B1396" i="2"/>
  <c r="C1396" i="2" s="1"/>
  <c r="D1040" i="2"/>
  <c r="D329" i="2"/>
  <c r="E400" i="2"/>
  <c r="D318" i="2"/>
  <c r="B302" i="2"/>
  <c r="C302" i="2" s="1"/>
  <c r="B446" i="2"/>
  <c r="C446" i="2" s="1"/>
  <c r="B1212" i="2"/>
  <c r="C1212" i="2" s="1"/>
  <c r="E1586" i="2"/>
  <c r="E666" i="2"/>
  <c r="D1380" i="2"/>
  <c r="B1197" i="2"/>
  <c r="C1197" i="2" s="1"/>
  <c r="D632" i="2"/>
  <c r="D907" i="2"/>
  <c r="D866" i="2"/>
  <c r="E518" i="2"/>
  <c r="E242" i="2"/>
  <c r="B1219" i="2"/>
  <c r="C1219" i="2" s="1"/>
  <c r="B381" i="2"/>
  <c r="C381" i="2" s="1"/>
  <c r="D1550" i="2"/>
  <c r="B1593" i="2"/>
  <c r="C1593" i="2" s="1"/>
  <c r="D1283" i="2"/>
  <c r="D547" i="2"/>
  <c r="B1508" i="2"/>
  <c r="C1508" i="2" s="1"/>
  <c r="E598" i="2"/>
  <c r="B1286" i="2"/>
  <c r="C1286" i="2" s="1"/>
  <c r="B731" i="2"/>
  <c r="C731" i="2" s="1"/>
  <c r="E1028" i="2"/>
  <c r="D1082" i="2"/>
  <c r="B607" i="2"/>
  <c r="C607" i="2" s="1"/>
  <c r="D1158" i="2"/>
  <c r="E1362" i="2"/>
  <c r="D1333" i="2"/>
  <c r="E1032" i="2"/>
  <c r="B517" i="2"/>
  <c r="C517" i="2" s="1"/>
  <c r="D715" i="2"/>
  <c r="D1252" i="2"/>
  <c r="E631" i="2"/>
  <c r="E771" i="2"/>
  <c r="D1355" i="2"/>
  <c r="B461" i="2"/>
  <c r="C461" i="2" s="1"/>
  <c r="E1172" i="2"/>
  <c r="E1232" i="2"/>
  <c r="D469" i="2"/>
  <c r="D1028" i="2"/>
  <c r="D274" i="2"/>
  <c r="B721" i="2"/>
  <c r="C721" i="2" s="1"/>
  <c r="B1405" i="2"/>
  <c r="C1405" i="2" s="1"/>
  <c r="D946" i="2"/>
  <c r="B1567" i="2"/>
  <c r="C1567" i="2" s="1"/>
  <c r="B830" i="2"/>
  <c r="C830" i="2" s="1"/>
  <c r="D1250" i="2"/>
  <c r="E1352" i="2"/>
  <c r="B1087" i="2"/>
  <c r="C1087" i="2" s="1"/>
  <c r="P1006" i="2"/>
  <c r="Q1006" i="2" s="1"/>
  <c r="S1006" i="2" s="1"/>
  <c r="E634" i="2"/>
  <c r="B1520" i="2"/>
  <c r="C1520" i="2" s="1"/>
  <c r="D752" i="2"/>
  <c r="B530" i="2"/>
  <c r="C530" i="2" s="1"/>
  <c r="P320" i="2"/>
  <c r="Q320" i="2" s="1"/>
  <c r="S320" i="2" s="1"/>
  <c r="P945" i="2"/>
  <c r="Q945" i="2" s="1"/>
  <c r="S945" i="2" s="1"/>
  <c r="D1021" i="2"/>
  <c r="B571" i="2"/>
  <c r="C571" i="2" s="1"/>
  <c r="E1089" i="2"/>
  <c r="B693" i="2"/>
  <c r="C693" i="2" s="1"/>
  <c r="B868" i="2"/>
  <c r="C868" i="2" s="1"/>
  <c r="E1321" i="2"/>
  <c r="B882" i="2"/>
  <c r="C882" i="2" s="1"/>
  <c r="B669" i="2"/>
  <c r="C669" i="2" s="1"/>
  <c r="B1253" i="2"/>
  <c r="C1253" i="2" s="1"/>
  <c r="P821" i="2"/>
  <c r="P849" i="2"/>
  <c r="Q849" i="2" s="1"/>
  <c r="S849" i="2" s="1"/>
  <c r="D352" i="2"/>
  <c r="B1494" i="2"/>
  <c r="C1494" i="2" s="1"/>
  <c r="E1083" i="2"/>
  <c r="B301" i="2"/>
  <c r="C301" i="2" s="1"/>
  <c r="B1314" i="2"/>
  <c r="C1314" i="2" s="1"/>
  <c r="D716" i="2"/>
  <c r="E346" i="2"/>
  <c r="B996" i="2"/>
  <c r="C996" i="2" s="1"/>
  <c r="B1076" i="2"/>
  <c r="C1076" i="2" s="1"/>
  <c r="B1234" i="2"/>
  <c r="C1234" i="2" s="1"/>
  <c r="E1005" i="2"/>
  <c r="B1472" i="2"/>
  <c r="C1472" i="2" s="1"/>
  <c r="B1162" i="2"/>
  <c r="C1162" i="2" s="1"/>
  <c r="B864" i="2"/>
  <c r="C864" i="2" s="1"/>
  <c r="D1187" i="2"/>
  <c r="B564" i="2"/>
  <c r="C564" i="2" s="1"/>
  <c r="B1020" i="2"/>
  <c r="C1020" i="2" s="1"/>
  <c r="B518" i="2"/>
  <c r="C518" i="2" s="1"/>
  <c r="P1411" i="2"/>
  <c r="D1094" i="2"/>
  <c r="D1485" i="2"/>
  <c r="P1201" i="2"/>
  <c r="Q1201" i="2" s="1"/>
  <c r="S1201" i="2" s="1"/>
  <c r="E1151" i="2"/>
  <c r="E1595" i="2"/>
  <c r="B1602" i="2"/>
  <c r="C1602" i="2" s="1"/>
  <c r="D1263" i="2"/>
  <c r="D238" i="2"/>
  <c r="D297" i="2"/>
  <c r="D763" i="2"/>
  <c r="D703" i="2"/>
  <c r="B397" i="2"/>
  <c r="C397" i="2" s="1"/>
  <c r="D1038" i="2"/>
  <c r="E577" i="2"/>
  <c r="D1443" i="2"/>
  <c r="B1301" i="2"/>
  <c r="C1301" i="2" s="1"/>
  <c r="D571" i="2"/>
  <c r="B814" i="2"/>
  <c r="C814" i="2" s="1"/>
  <c r="D617" i="2"/>
  <c r="E1145" i="2"/>
  <c r="E1119" i="2"/>
  <c r="D925" i="2"/>
  <c r="D515" i="2"/>
  <c r="B534" i="2"/>
  <c r="C534" i="2" s="1"/>
  <c r="B603" i="2"/>
  <c r="C603" i="2" s="1"/>
  <c r="B642" i="2"/>
  <c r="C642" i="2" s="1"/>
  <c r="E1359" i="2"/>
  <c r="E1532" i="2"/>
  <c r="E1108" i="2"/>
  <c r="B1035" i="2"/>
  <c r="C1035" i="2" s="1"/>
  <c r="D508" i="2"/>
  <c r="D280" i="2"/>
  <c r="B318" i="2"/>
  <c r="C318" i="2" s="1"/>
  <c r="E328" i="2"/>
  <c r="E498" i="2"/>
  <c r="B1446" i="2"/>
  <c r="C1446" i="2" s="1"/>
  <c r="D1153" i="2"/>
  <c r="E781" i="2"/>
  <c r="E408" i="2"/>
  <c r="E358" i="2"/>
  <c r="E1288" i="2"/>
  <c r="B1438" i="2"/>
  <c r="C1438" i="2" s="1"/>
  <c r="E977" i="2"/>
  <c r="E538" i="2"/>
  <c r="B1050" i="2"/>
  <c r="C1050" i="2" s="1"/>
  <c r="D765" i="2"/>
  <c r="D1242" i="2"/>
  <c r="B858" i="2"/>
  <c r="C858" i="2" s="1"/>
  <c r="E1598" i="2"/>
  <c r="B807" i="2"/>
  <c r="C807" i="2" s="1"/>
  <c r="B248" i="2"/>
  <c r="C248" i="2" s="1"/>
  <c r="D496" i="2"/>
  <c r="D298" i="2"/>
  <c r="E521" i="2"/>
  <c r="E831" i="2"/>
  <c r="E961" i="2"/>
  <c r="B1516" i="2"/>
  <c r="C1516" i="2" s="1"/>
  <c r="B1235" i="2"/>
  <c r="C1235" i="2" s="1"/>
  <c r="B491" i="2"/>
  <c r="C491" i="2" s="1"/>
  <c r="B1124" i="2"/>
  <c r="C1124" i="2" s="1"/>
  <c r="D791" i="2"/>
  <c r="E1082" i="2"/>
  <c r="E1139" i="2"/>
  <c r="P486" i="2"/>
  <c r="Q486" i="2" s="1"/>
  <c r="S486" i="2" s="1"/>
  <c r="B686" i="2"/>
  <c r="C686" i="2" s="1"/>
  <c r="D367" i="2"/>
  <c r="B819" i="2"/>
  <c r="C819" i="2" s="1"/>
  <c r="P601" i="2"/>
  <c r="D635" i="2"/>
  <c r="D630" i="2"/>
  <c r="D1052" i="2"/>
  <c r="B1375" i="2"/>
  <c r="C1375" i="2" s="1"/>
  <c r="D1521" i="2"/>
  <c r="B1543" i="2"/>
  <c r="C1543" i="2" s="1"/>
  <c r="P939" i="2"/>
  <c r="Q939" i="2" s="1"/>
  <c r="S939" i="2" s="1"/>
  <c r="E682" i="2"/>
  <c r="B659" i="2"/>
  <c r="C659" i="2" s="1"/>
  <c r="P938" i="2"/>
  <c r="D825" i="2"/>
  <c r="D1125" i="2"/>
  <c r="E1367" i="2"/>
  <c r="D1371" i="2"/>
  <c r="B306" i="2"/>
  <c r="C306" i="2" s="1"/>
  <c r="B1149" i="2"/>
  <c r="C1149" i="2" s="1"/>
  <c r="B249" i="2"/>
  <c r="C249" i="2" s="1"/>
  <c r="E441" i="2"/>
  <c r="B719" i="2"/>
  <c r="C719" i="2" s="1"/>
  <c r="P321" i="2"/>
  <c r="Q321" i="2" s="1"/>
  <c r="S321" i="2" s="1"/>
  <c r="B1474" i="2"/>
  <c r="C1474" i="2" s="1"/>
  <c r="B1007" i="2"/>
  <c r="C1007" i="2" s="1"/>
  <c r="E1408" i="2"/>
  <c r="D840" i="2"/>
  <c r="B952" i="2"/>
  <c r="C952" i="2" s="1"/>
  <c r="E1186" i="2"/>
  <c r="E409" i="2"/>
  <c r="D1167" i="2"/>
  <c r="E1414" i="2"/>
  <c r="B1003" i="2"/>
  <c r="C1003" i="2" s="1"/>
  <c r="D454" i="2"/>
  <c r="D863" i="2"/>
  <c r="E1240" i="2"/>
  <c r="B1556" i="2"/>
  <c r="C1556" i="2" s="1"/>
  <c r="E541" i="2"/>
  <c r="P554" i="2"/>
  <c r="Q554" i="2" s="1"/>
  <c r="S554" i="2" s="1"/>
  <c r="D343" i="2"/>
  <c r="B1261" i="2"/>
  <c r="C1261" i="2" s="1"/>
  <c r="B468" i="2"/>
  <c r="C468" i="2" s="1"/>
  <c r="E725" i="2"/>
  <c r="E486" i="2"/>
  <c r="D1288" i="2"/>
  <c r="B1189" i="2"/>
  <c r="C1189" i="2" s="1"/>
  <c r="B1157" i="2"/>
  <c r="C1157" i="2" s="1"/>
  <c r="E1130" i="2"/>
  <c r="B1283" i="2"/>
  <c r="C1283" i="2" s="1"/>
  <c r="E1581" i="2"/>
  <c r="E850" i="2"/>
  <c r="E539" i="2"/>
  <c r="D1429" i="2"/>
  <c r="E412" i="2"/>
  <c r="B733" i="2"/>
  <c r="C733" i="2" s="1"/>
  <c r="D833" i="2"/>
  <c r="E951" i="2"/>
  <c r="B289" i="2"/>
  <c r="C289" i="2" s="1"/>
  <c r="D1425" i="2"/>
  <c r="D321" i="2"/>
  <c r="D1251" i="2"/>
  <c r="B1429" i="2"/>
  <c r="C1429" i="2" s="1"/>
  <c r="D843" i="2"/>
  <c r="B1471" i="2"/>
  <c r="C1471" i="2" s="1"/>
  <c r="B1540" i="2"/>
  <c r="C1540" i="2" s="1"/>
  <c r="D928" i="2"/>
  <c r="B838" i="2"/>
  <c r="C838" i="2" s="1"/>
  <c r="E835" i="2"/>
  <c r="E842" i="2"/>
  <c r="D323" i="2"/>
  <c r="E892" i="2"/>
  <c r="D1458" i="2"/>
  <c r="B447" i="2"/>
  <c r="C447" i="2" s="1"/>
  <c r="B565" i="2"/>
  <c r="C565" i="2" s="1"/>
  <c r="D911" i="2"/>
  <c r="B443" i="2"/>
  <c r="C443" i="2" s="1"/>
  <c r="P697" i="2"/>
  <c r="Q697" i="2" s="1"/>
  <c r="S697" i="2" s="1"/>
  <c r="D892" i="2"/>
  <c r="B1406" i="2"/>
  <c r="C1406" i="2" s="1"/>
  <c r="D535" i="2"/>
  <c r="E834" i="2"/>
  <c r="D286" i="2"/>
  <c r="B539" i="2"/>
  <c r="C539" i="2" s="1"/>
  <c r="D1492" i="2"/>
  <c r="B856" i="2"/>
  <c r="C856" i="2" s="1"/>
  <c r="D480" i="2"/>
  <c r="E882" i="2"/>
  <c r="E1016" i="2"/>
  <c r="D1159" i="2"/>
  <c r="B696" i="2"/>
  <c r="C696" i="2" s="1"/>
  <c r="B1387" i="2"/>
  <c r="C1387" i="2" s="1"/>
  <c r="D687" i="2"/>
  <c r="E839" i="2"/>
  <c r="B400" i="2"/>
  <c r="C400" i="2" s="1"/>
  <c r="B880" i="2"/>
  <c r="C880" i="2" s="1"/>
  <c r="B1469" i="2"/>
  <c r="C1469" i="2" s="1"/>
  <c r="B729" i="2"/>
  <c r="C729" i="2" s="1"/>
  <c r="B1454" i="2"/>
  <c r="C1454" i="2" s="1"/>
  <c r="B1585" i="2"/>
  <c r="C1585" i="2" s="1"/>
  <c r="D1531" i="2"/>
  <c r="B1297" i="2"/>
  <c r="C1297" i="2" s="1"/>
  <c r="D1372" i="2"/>
  <c r="E421" i="2"/>
  <c r="B1132" i="2"/>
  <c r="C1132" i="2" s="1"/>
  <c r="D1411" i="2"/>
  <c r="E1329" i="2"/>
  <c r="B1281" i="2"/>
  <c r="C1281" i="2" s="1"/>
  <c r="B435" i="2"/>
  <c r="C435" i="2" s="1"/>
  <c r="E1264" i="2"/>
  <c r="D1337" i="2"/>
  <c r="B1299" i="2"/>
  <c r="C1299" i="2" s="1"/>
  <c r="E1170" i="2"/>
  <c r="E996" i="2"/>
  <c r="B1343" i="2"/>
  <c r="C1343" i="2" s="1"/>
  <c r="D986" i="2"/>
  <c r="B233" i="2"/>
  <c r="C233" i="2" s="1"/>
  <c r="B743" i="2"/>
  <c r="C743" i="2" s="1"/>
  <c r="E319" i="2"/>
  <c r="B1444" i="2"/>
  <c r="C1444" i="2" s="1"/>
  <c r="D1404" i="2"/>
  <c r="B554" i="2"/>
  <c r="C554" i="2" s="1"/>
  <c r="E1229" i="2"/>
  <c r="B1413" i="2"/>
  <c r="C1413" i="2" s="1"/>
  <c r="B717" i="2"/>
  <c r="C717" i="2" s="1"/>
  <c r="E826" i="2"/>
  <c r="B580" i="2"/>
  <c r="C580" i="2" s="1"/>
  <c r="P403" i="2"/>
  <c r="Q403" i="2" s="1"/>
  <c r="S403" i="2" s="1"/>
  <c r="E344" i="2"/>
  <c r="E226" i="2"/>
  <c r="E1333" i="2"/>
  <c r="E371" i="2"/>
  <c r="D1257" i="2"/>
  <c r="D530" i="2"/>
  <c r="P1479" i="2"/>
  <c r="Q1479" i="2" s="1"/>
  <c r="S1479" i="2" s="1"/>
  <c r="V1479" i="2" s="1"/>
  <c r="E1382" i="2"/>
  <c r="D956" i="2"/>
  <c r="D965" i="2"/>
  <c r="E934" i="2"/>
  <c r="B611" i="2"/>
  <c r="C611" i="2" s="1"/>
  <c r="E288" i="2"/>
  <c r="D768" i="2"/>
  <c r="D633" i="2"/>
  <c r="P865" i="2"/>
  <c r="Q865" i="2" s="1"/>
  <c r="S865" i="2" s="1"/>
  <c r="P492" i="2"/>
  <c r="Q492" i="2" s="1"/>
  <c r="S492" i="2" s="1"/>
  <c r="E1261" i="2"/>
  <c r="D1213" i="2"/>
  <c r="B1276" i="2"/>
  <c r="C1276" i="2" s="1"/>
  <c r="D1109" i="2"/>
  <c r="B274" i="2"/>
  <c r="C274" i="2" s="1"/>
  <c r="E806" i="2"/>
  <c r="B979" i="2"/>
  <c r="C979" i="2" s="1"/>
  <c r="B919" i="2"/>
  <c r="C919" i="2" s="1"/>
  <c r="B1066" i="2"/>
  <c r="C1066" i="2" s="1"/>
  <c r="B923" i="2"/>
  <c r="C923" i="2" s="1"/>
  <c r="D723" i="2"/>
  <c r="E824" i="2"/>
  <c r="D1143" i="2"/>
  <c r="B1284" i="2"/>
  <c r="C1284" i="2" s="1"/>
  <c r="B1549" i="2"/>
  <c r="C1549" i="2" s="1"/>
  <c r="D711" i="2"/>
  <c r="D1273" i="2"/>
  <c r="B376" i="2"/>
  <c r="C376" i="2" s="1"/>
  <c r="D1526" i="2"/>
  <c r="D664" i="2"/>
  <c r="B1409" i="2"/>
  <c r="C1409" i="2" s="1"/>
  <c r="B846" i="2"/>
  <c r="C846" i="2" s="1"/>
  <c r="E1051" i="2"/>
  <c r="D1186" i="2"/>
  <c r="B314" i="2"/>
  <c r="C314" i="2" s="1"/>
  <c r="B1562" i="2"/>
  <c r="C1562" i="2" s="1"/>
  <c r="B614" i="2"/>
  <c r="C614" i="2" s="1"/>
  <c r="D1515" i="2"/>
  <c r="E373" i="2"/>
  <c r="E1210" i="2"/>
  <c r="E567" i="2"/>
  <c r="D304" i="2"/>
  <c r="B234" i="2"/>
  <c r="C234" i="2" s="1"/>
  <c r="E1171" i="2"/>
  <c r="D1455" i="2"/>
  <c r="B1094" i="2"/>
  <c r="C1094" i="2" s="1"/>
  <c r="B810" i="2"/>
  <c r="C810" i="2" s="1"/>
  <c r="B853" i="2"/>
  <c r="C853" i="2" s="1"/>
  <c r="E1230" i="2"/>
  <c r="D510" i="2"/>
  <c r="E237" i="2"/>
  <c r="P1341" i="2"/>
  <c r="Q1341" i="2" s="1"/>
  <c r="S1341" i="2" s="1"/>
  <c r="B1552" i="2"/>
  <c r="C1552" i="2" s="1"/>
  <c r="E580" i="2"/>
  <c r="B684" i="2"/>
  <c r="C684" i="2" s="1"/>
  <c r="D372" i="2"/>
  <c r="D376" i="2"/>
  <c r="B940" i="2"/>
  <c r="C940" i="2" s="1"/>
  <c r="D1018" i="2"/>
  <c r="P1241" i="2"/>
  <c r="Q1241" i="2" s="1"/>
  <c r="S1241" i="2" s="1"/>
  <c r="V1241" i="2" s="1"/>
  <c r="B402" i="2"/>
  <c r="C402" i="2" s="1"/>
  <c r="D387" i="2"/>
  <c r="D1505" i="2"/>
  <c r="E340" i="2"/>
  <c r="D916" i="2"/>
  <c r="D320" i="2"/>
  <c r="P1257" i="2"/>
  <c r="Q1257" i="2" s="1"/>
  <c r="S1257" i="2" s="1"/>
  <c r="V1257" i="2" s="1"/>
  <c r="E896" i="2"/>
  <c r="E728" i="2"/>
  <c r="P866" i="2"/>
  <c r="Q866" i="2" s="1"/>
  <c r="S866" i="2" s="1"/>
  <c r="P335" i="2"/>
  <c r="Q335" i="2" s="1"/>
  <c r="S335" i="2" s="1"/>
  <c r="D743" i="2"/>
  <c r="D308" i="2"/>
  <c r="B1159" i="2"/>
  <c r="C1159" i="2" s="1"/>
  <c r="E1381" i="2"/>
  <c r="B1324" i="2"/>
  <c r="C1324" i="2" s="1"/>
  <c r="D620" i="2"/>
  <c r="B1507" i="2"/>
  <c r="C1507" i="2" s="1"/>
  <c r="D809" i="2"/>
  <c r="P342" i="2"/>
  <c r="Q342" i="2" s="1"/>
  <c r="S342" i="2" s="1"/>
  <c r="P1273" i="2"/>
  <c r="Q1273" i="2" s="1"/>
  <c r="S1273" i="2" s="1"/>
  <c r="V1273" i="2" s="1"/>
  <c r="D782" i="2"/>
  <c r="E1447" i="2"/>
  <c r="E885" i="2"/>
  <c r="B1532" i="2"/>
  <c r="C1532" i="2" s="1"/>
  <c r="B652" i="2"/>
  <c r="C652" i="2" s="1"/>
  <c r="P668" i="2"/>
  <c r="Q668" i="2" s="1"/>
  <c r="S668" i="2" s="1"/>
  <c r="D893" i="2"/>
  <c r="E805" i="2"/>
  <c r="D1596" i="2"/>
  <c r="B1061" i="2"/>
  <c r="C1061" i="2" s="1"/>
  <c r="D726" i="2"/>
  <c r="D1442" i="2"/>
  <c r="B670" i="2"/>
  <c r="C670" i="2" s="1"/>
  <c r="P902" i="2"/>
  <c r="Q902" i="2" s="1"/>
  <c r="S902" i="2" s="1"/>
  <c r="E722" i="2"/>
  <c r="E1231" i="2"/>
  <c r="B1010" i="2"/>
  <c r="C1010" i="2" s="1"/>
  <c r="P229" i="2"/>
  <c r="Q229" i="2" s="1"/>
  <c r="S229" i="2" s="1"/>
  <c r="B1426" i="2"/>
  <c r="C1426" i="2" s="1"/>
  <c r="E663" i="2"/>
  <c r="E1023" i="2"/>
  <c r="D1420" i="2"/>
  <c r="D541" i="2"/>
  <c r="D829" i="2"/>
  <c r="D1565" i="2"/>
  <c r="B689" i="2"/>
  <c r="C689" i="2" s="1"/>
  <c r="B493" i="2"/>
  <c r="C493" i="2" s="1"/>
  <c r="B690" i="2"/>
  <c r="C690" i="2" s="1"/>
  <c r="B1581" i="2"/>
  <c r="C1581" i="2" s="1"/>
  <c r="E983" i="2"/>
  <c r="E1052" i="2"/>
  <c r="E779" i="2"/>
  <c r="B800" i="2"/>
  <c r="C800" i="2" s="1"/>
  <c r="B1528" i="2"/>
  <c r="C1528" i="2" s="1"/>
  <c r="B1599" i="2"/>
  <c r="C1599" i="2" s="1"/>
  <c r="D1405" i="2"/>
  <c r="E1227" i="2"/>
  <c r="E297" i="2"/>
  <c r="D614" i="2"/>
  <c r="E564" i="2"/>
  <c r="D869" i="2"/>
  <c r="E1175" i="2"/>
  <c r="D900" i="2"/>
  <c r="E418" i="2"/>
  <c r="B1206" i="2"/>
  <c r="C1206" i="2" s="1"/>
  <c r="E959" i="2"/>
  <c r="D1501" i="2"/>
  <c r="E1254" i="2"/>
  <c r="E1347" i="2"/>
  <c r="D309" i="2"/>
  <c r="D1012" i="2"/>
  <c r="D576" i="2"/>
  <c r="B1264" i="2"/>
  <c r="C1264" i="2" s="1"/>
  <c r="E367" i="2"/>
  <c r="D601" i="2"/>
  <c r="B1418" i="2"/>
  <c r="C1418" i="2" s="1"/>
  <c r="B1457" i="2"/>
  <c r="C1457" i="2" s="1"/>
  <c r="B802" i="2"/>
  <c r="C802" i="2" s="1"/>
  <c r="B304" i="2"/>
  <c r="C304" i="2" s="1"/>
  <c r="B1245" i="2"/>
  <c r="C1245" i="2" s="1"/>
  <c r="D507" i="2"/>
  <c r="B1196" i="2"/>
  <c r="C1196" i="2" s="1"/>
  <c r="E812" i="2"/>
  <c r="P339" i="2"/>
  <c r="Q339" i="2" s="1"/>
  <c r="S339" i="2" s="1"/>
  <c r="B1215" i="2"/>
  <c r="C1215" i="2" s="1"/>
  <c r="E496" i="2"/>
  <c r="B748" i="2"/>
  <c r="C748" i="2" s="1"/>
  <c r="P240" i="2"/>
  <c r="Q240" i="2" s="1"/>
  <c r="S240" i="2" s="1"/>
  <c r="D702" i="2"/>
  <c r="E1310" i="2"/>
  <c r="E575" i="2"/>
  <c r="D947" i="2"/>
  <c r="B1088" i="2"/>
  <c r="C1088" i="2" s="1"/>
  <c r="E511" i="2"/>
  <c r="E1284" i="2"/>
  <c r="E1582" i="2"/>
  <c r="D816" i="2"/>
  <c r="D1033" i="2"/>
  <c r="B1006" i="2"/>
  <c r="C1006" i="2" s="1"/>
  <c r="D898" i="2"/>
  <c r="E1432" i="2"/>
  <c r="B985" i="2"/>
  <c r="C985" i="2" s="1"/>
  <c r="P906" i="2"/>
  <c r="Q906" i="2" s="1"/>
  <c r="S906" i="2" s="1"/>
  <c r="D854" i="2"/>
  <c r="B871" i="2"/>
  <c r="C871" i="2" s="1"/>
  <c r="E1000" i="2"/>
  <c r="B478" i="2"/>
  <c r="C478" i="2" s="1"/>
  <c r="B1075" i="2"/>
  <c r="C1075" i="2" s="1"/>
  <c r="P458" i="2"/>
  <c r="Q458" i="2" s="1"/>
  <c r="S458" i="2" s="1"/>
  <c r="E475" i="2"/>
  <c r="E1201" i="2"/>
  <c r="E1162" i="2"/>
  <c r="D484" i="2"/>
  <c r="E611" i="2"/>
  <c r="D718" i="2"/>
  <c r="E1325" i="2"/>
  <c r="D1232" i="2"/>
  <c r="B367" i="2"/>
  <c r="C367" i="2" s="1"/>
  <c r="E431" i="2"/>
  <c r="B709" i="2"/>
  <c r="C709" i="2" s="1"/>
  <c r="E450" i="2"/>
  <c r="D1301" i="2"/>
  <c r="E1010" i="2"/>
  <c r="P1426" i="2"/>
  <c r="Q1426" i="2" s="1"/>
  <c r="S1426" i="2" s="1"/>
  <c r="B997" i="2"/>
  <c r="C997" i="2" s="1"/>
  <c r="E1161" i="2"/>
  <c r="B257" i="2"/>
  <c r="C257" i="2" s="1"/>
  <c r="B1545" i="2"/>
  <c r="C1545" i="2" s="1"/>
  <c r="P430" i="2"/>
  <c r="B1144" i="2"/>
  <c r="C1144" i="2" s="1"/>
  <c r="E1241" i="2"/>
  <c r="E1266" i="2"/>
  <c r="E489" i="2"/>
  <c r="E1536" i="2"/>
  <c r="E1356" i="2"/>
  <c r="P224" i="2"/>
  <c r="P306" i="2"/>
  <c r="Q306" i="2" s="1"/>
  <c r="S306" i="2" s="1"/>
  <c r="B1598" i="2"/>
  <c r="C1598" i="2" s="1"/>
  <c r="B1342" i="2"/>
  <c r="C1342" i="2" s="1"/>
  <c r="B1145" i="2"/>
  <c r="C1145" i="2" s="1"/>
  <c r="E620" i="2"/>
  <c r="D659" i="2"/>
  <c r="B227" i="2"/>
  <c r="C227" i="2" s="1"/>
  <c r="B730" i="2"/>
  <c r="C730" i="2" s="1"/>
  <c r="D1266" i="2"/>
  <c r="D1199" i="2"/>
  <c r="E1293" i="2"/>
  <c r="B944" i="2"/>
  <c r="C944" i="2" s="1"/>
  <c r="D1051" i="2"/>
  <c r="E841" i="2"/>
  <c r="E264" i="2"/>
  <c r="B469" i="2"/>
  <c r="C469" i="2" s="1"/>
  <c r="D548" i="2"/>
  <c r="E857" i="2"/>
  <c r="B264" i="2"/>
  <c r="C264" i="2" s="1"/>
  <c r="E1386" i="2"/>
  <c r="P755" i="2"/>
  <c r="Q755" i="2" s="1"/>
  <c r="S755" i="2" s="1"/>
  <c r="B854" i="2"/>
  <c r="C854" i="2" s="1"/>
  <c r="D404" i="2"/>
  <c r="P1205" i="2"/>
  <c r="Q1205" i="2" s="1"/>
  <c r="S1205" i="2" s="1"/>
  <c r="E723" i="2"/>
  <c r="D1575" i="2"/>
  <c r="B1448" i="2"/>
  <c r="C1448" i="2" s="1"/>
  <c r="P573" i="2"/>
  <c r="Q573" i="2" s="1"/>
  <c r="S573" i="2" s="1"/>
  <c r="P1478" i="2"/>
  <c r="Q1478" i="2" s="1"/>
  <c r="S1478" i="2" s="1"/>
  <c r="V1478" i="2" s="1"/>
  <c r="E893" i="2"/>
  <c r="D924" i="2"/>
  <c r="B870" i="2"/>
  <c r="C870" i="2" s="1"/>
  <c r="B1423" i="2"/>
  <c r="C1423" i="2" s="1"/>
  <c r="B1458" i="2"/>
  <c r="C1458" i="2" s="1"/>
  <c r="E1491" i="2"/>
  <c r="D1224" i="2"/>
  <c r="B1574" i="2"/>
  <c r="C1574" i="2" s="1"/>
  <c r="D977" i="2"/>
  <c r="B815" i="2"/>
  <c r="C815" i="2" s="1"/>
  <c r="B1539" i="2"/>
  <c r="C1539" i="2" s="1"/>
  <c r="D1092" i="2"/>
  <c r="D1237" i="2"/>
  <c r="B1249" i="2"/>
  <c r="C1249" i="2" s="1"/>
  <c r="D1229" i="2"/>
  <c r="D1303" i="2"/>
  <c r="E869" i="2"/>
  <c r="D996" i="2"/>
  <c r="B901" i="2"/>
  <c r="C901" i="2" s="1"/>
  <c r="B265" i="2"/>
  <c r="C265" i="2" s="1"/>
  <c r="B505" i="2"/>
  <c r="C505" i="2" s="1"/>
  <c r="E686" i="2"/>
  <c r="E1118" i="2"/>
  <c r="D1102" i="2"/>
  <c r="D1296" i="2"/>
  <c r="B237" i="2"/>
  <c r="C237" i="2" s="1"/>
  <c r="D1540" i="2"/>
  <c r="B1278" i="2"/>
  <c r="C1278" i="2" s="1"/>
  <c r="P1249" i="2"/>
  <c r="Q1249" i="2" s="1"/>
  <c r="S1249" i="2" s="1"/>
  <c r="V1249" i="2" s="1"/>
  <c r="D1050" i="2"/>
  <c r="E1248" i="2"/>
  <c r="D1367" i="2"/>
  <c r="E1249" i="2"/>
  <c r="B1535" i="2"/>
  <c r="C1535" i="2" s="1"/>
  <c r="D1053" i="2"/>
  <c r="D1567" i="2"/>
  <c r="B278" i="2"/>
  <c r="C278" i="2" s="1"/>
  <c r="E1599" i="2"/>
  <c r="D682" i="2"/>
  <c r="P868" i="2"/>
  <c r="Q868" i="2" s="1"/>
  <c r="S868" i="2" s="1"/>
  <c r="P623" i="2"/>
  <c r="Q623" i="2" s="1"/>
  <c r="S623" i="2" s="1"/>
  <c r="D247" i="2"/>
  <c r="B764" i="2"/>
  <c r="C764" i="2" s="1"/>
  <c r="B247" i="2"/>
  <c r="C247" i="2" s="1"/>
  <c r="E1336" i="2"/>
  <c r="D1083" i="2"/>
  <c r="D1511" i="2"/>
  <c r="E819" i="2"/>
  <c r="D1539" i="2"/>
  <c r="B474" i="2"/>
  <c r="C474" i="2" s="1"/>
  <c r="B313" i="2"/>
  <c r="C313" i="2" s="1"/>
  <c r="E995" i="2"/>
  <c r="E1361" i="2"/>
  <c r="E1349" i="2"/>
  <c r="B1018" i="2"/>
  <c r="C1018" i="2" s="1"/>
  <c r="E992" i="2"/>
  <c r="P614" i="2"/>
  <c r="Q614" i="2" s="1"/>
  <c r="S614" i="2" s="1"/>
  <c r="P239" i="2"/>
  <c r="B292" i="2"/>
  <c r="C292" i="2" s="1"/>
  <c r="B277" i="2"/>
  <c r="C277" i="2" s="1"/>
  <c r="D668" i="2"/>
  <c r="B649" i="2"/>
  <c r="C649" i="2" s="1"/>
  <c r="E1355" i="2"/>
  <c r="E988" i="2"/>
  <c r="D837" i="2"/>
  <c r="E845" i="2"/>
  <c r="B567" i="2"/>
  <c r="C567" i="2" s="1"/>
  <c r="E1571" i="2"/>
  <c r="P1457" i="2"/>
  <c r="Q1457" i="2" s="1"/>
  <c r="S1457" i="2" s="1"/>
  <c r="P330" i="2"/>
  <c r="Q330" i="2" s="1"/>
  <c r="S330" i="2" s="1"/>
  <c r="D669" i="2"/>
  <c r="E444" i="2"/>
  <c r="E1506" i="2"/>
  <c r="P823" i="2"/>
  <c r="Q823" i="2" s="1"/>
  <c r="S823" i="2" s="1"/>
  <c r="B1374" i="2"/>
  <c r="C1374" i="2" s="1"/>
  <c r="D512" i="2"/>
  <c r="E997" i="2"/>
  <c r="B1337" i="2"/>
  <c r="C1337" i="2" s="1"/>
  <c r="P1050" i="2"/>
  <c r="Q1050" i="2" s="1"/>
  <c r="S1050" i="2" s="1"/>
  <c r="P264" i="2"/>
  <c r="Q264" i="2" s="1"/>
  <c r="S264" i="2" s="1"/>
  <c r="B1147" i="2"/>
  <c r="C1147" i="2" s="1"/>
  <c r="E621" i="2"/>
  <c r="D781" i="2"/>
  <c r="D264" i="2"/>
  <c r="B628" i="2"/>
  <c r="C628" i="2" s="1"/>
  <c r="E984" i="2"/>
  <c r="B388" i="2"/>
  <c r="C388" i="2" s="1"/>
  <c r="D1108" i="2"/>
  <c r="D899" i="2"/>
  <c r="D954" i="2"/>
  <c r="P1208" i="2"/>
  <c r="Q1208" i="2" s="1"/>
  <c r="S1208" i="2" s="1"/>
  <c r="D1325" i="2"/>
  <c r="E1215" i="2"/>
  <c r="D1313" i="2"/>
  <c r="E509" i="2"/>
  <c r="E972" i="2"/>
  <c r="D410" i="2"/>
  <c r="B831" i="2"/>
  <c r="C831" i="2" s="1"/>
  <c r="D481" i="2"/>
  <c r="D327" i="2"/>
  <c r="D641" i="2"/>
  <c r="P903" i="2"/>
  <c r="Q903" i="2" s="1"/>
  <c r="S903" i="2" s="1"/>
  <c r="B1156" i="2"/>
  <c r="C1156" i="2" s="1"/>
  <c r="D1176" i="2"/>
  <c r="D326" i="2"/>
  <c r="B1586" i="2"/>
  <c r="C1586" i="2" s="1"/>
  <c r="E1400" i="2"/>
  <c r="E880" i="2"/>
  <c r="P225" i="2"/>
  <c r="Q225" i="2" s="1"/>
  <c r="S225" i="2" s="1"/>
  <c r="D1063" i="2"/>
  <c r="D609" i="2"/>
  <c r="B966" i="2"/>
  <c r="C966" i="2" s="1"/>
  <c r="B822" i="2"/>
  <c r="C822" i="2" s="1"/>
  <c r="E451" i="2"/>
  <c r="E1452" i="2"/>
  <c r="E291" i="2"/>
  <c r="D1368" i="2"/>
  <c r="D1328" i="2"/>
  <c r="D1139" i="2"/>
  <c r="B479" i="2"/>
  <c r="C479" i="2" s="1"/>
  <c r="P233" i="2"/>
  <c r="Q233" i="2" s="1"/>
  <c r="S233" i="2" s="1"/>
  <c r="P502" i="2"/>
  <c r="Q502" i="2" s="1"/>
  <c r="S502" i="2" s="1"/>
  <c r="D1537" i="2"/>
  <c r="B990" i="2"/>
  <c r="C990" i="2" s="1"/>
  <c r="D1155" i="2"/>
  <c r="B818" i="2"/>
  <c r="C818" i="2" s="1"/>
  <c r="D839" i="2"/>
  <c r="E303" i="2"/>
  <c r="E1456" i="2"/>
  <c r="B508" i="2"/>
  <c r="C508" i="2" s="1"/>
  <c r="D968" i="2"/>
  <c r="D904" i="2"/>
  <c r="B1082" i="2"/>
  <c r="C1082" i="2" s="1"/>
  <c r="E753" i="2"/>
  <c r="B1511" i="2"/>
  <c r="C1511" i="2" s="1"/>
  <c r="D680" i="2"/>
  <c r="D1401" i="2"/>
  <c r="D793" i="2"/>
  <c r="E604" i="2"/>
  <c r="E818" i="2"/>
  <c r="D1173" i="2"/>
  <c r="D602" i="2"/>
  <c r="D549" i="2"/>
  <c r="B1268" i="2"/>
  <c r="C1268" i="2" s="1"/>
  <c r="E947" i="2"/>
  <c r="B716" i="2"/>
  <c r="C716" i="2" s="1"/>
  <c r="P484" i="2"/>
  <c r="E1110" i="2"/>
  <c r="D991" i="2"/>
  <c r="E944" i="2"/>
  <c r="P231" i="2"/>
  <c r="Q231" i="2" s="1"/>
  <c r="S231" i="2" s="1"/>
  <c r="B256" i="2"/>
  <c r="C256" i="2" s="1"/>
  <c r="E507" i="2"/>
  <c r="B1138" i="2"/>
  <c r="C1138" i="2" s="1"/>
  <c r="E1501" i="2"/>
  <c r="E802" i="2"/>
  <c r="D938" i="2"/>
  <c r="P580" i="2"/>
  <c r="Q580" i="2" s="1"/>
  <c r="S580" i="2" s="1"/>
  <c r="E669" i="2"/>
  <c r="E727" i="2"/>
  <c r="B1165" i="2"/>
  <c r="C1165" i="2" s="1"/>
  <c r="D764" i="2"/>
  <c r="D649" i="2"/>
  <c r="P892" i="2"/>
  <c r="Q892" i="2" s="1"/>
  <c r="S892" i="2" s="1"/>
  <c r="D370" i="2"/>
  <c r="E1127" i="2"/>
  <c r="D1289" i="2"/>
  <c r="E690" i="2"/>
  <c r="D989" i="2"/>
  <c r="D486" i="2"/>
  <c r="D558" i="2"/>
  <c r="D491" i="2"/>
  <c r="B1129" i="2"/>
  <c r="C1129" i="2" s="1"/>
  <c r="E1410" i="2"/>
  <c r="E1306" i="2"/>
  <c r="D814" i="2"/>
  <c r="D780" i="2"/>
  <c r="D1562" i="2"/>
  <c r="E1405" i="2"/>
  <c r="D263" i="2"/>
  <c r="D319" i="2"/>
  <c r="D962" i="2"/>
  <c r="E681" i="2"/>
  <c r="E1017" i="2"/>
  <c r="D545" i="2"/>
  <c r="D1061" i="2"/>
  <c r="E635" i="2"/>
  <c r="E1163" i="2"/>
  <c r="D1106" i="2"/>
  <c r="E1492" i="2"/>
  <c r="B699" i="2"/>
  <c r="C699" i="2" s="1"/>
  <c r="B713" i="2"/>
  <c r="C713" i="2" s="1"/>
  <c r="B928" i="2"/>
  <c r="C928" i="2" s="1"/>
  <c r="E664" i="2"/>
  <c r="D355" i="2"/>
  <c r="D1452" i="2"/>
  <c r="D553" i="2"/>
  <c r="E258" i="2"/>
  <c r="P1474" i="2"/>
  <c r="Q1474" i="2" s="1"/>
  <c r="S1474" i="2" s="1"/>
  <c r="D1375" i="2"/>
  <c r="D1403" i="2"/>
  <c r="B499" i="2"/>
  <c r="C499" i="2" s="1"/>
  <c r="D380" i="2"/>
  <c r="E1379" i="2"/>
  <c r="E709" i="2"/>
  <c r="D1291" i="2"/>
  <c r="P1289" i="2"/>
  <c r="D1014" i="2"/>
  <c r="P493" i="2"/>
  <c r="Q493" i="2" s="1"/>
  <c r="S493" i="2" s="1"/>
  <c r="D805" i="2"/>
  <c r="D1244" i="2"/>
  <c r="B1033" i="2"/>
  <c r="C1033" i="2" s="1"/>
  <c r="B986" i="2"/>
  <c r="C986" i="2" s="1"/>
  <c r="E946" i="2"/>
  <c r="D749" i="2"/>
  <c r="B724" i="2"/>
  <c r="C724" i="2" s="1"/>
  <c r="B958" i="2"/>
  <c r="C958" i="2" s="1"/>
  <c r="B774" i="2"/>
  <c r="C774" i="2" s="1"/>
  <c r="P1321" i="2"/>
  <c r="Q1321" i="2" s="1"/>
  <c r="S1321" i="2" s="1"/>
  <c r="E680" i="2"/>
  <c r="D1002" i="2"/>
  <c r="B613" i="2"/>
  <c r="C613" i="2" s="1"/>
  <c r="D579" i="2"/>
  <c r="D1331" i="2"/>
  <c r="E1562" i="2"/>
  <c r="D1200" i="2"/>
  <c r="E1233" i="2"/>
  <c r="B916" i="2"/>
  <c r="C916" i="2" s="1"/>
  <c r="E1529" i="2"/>
  <c r="P319" i="2"/>
  <c r="D688" i="2"/>
  <c r="P714" i="2"/>
  <c r="Q714" i="2" s="1"/>
  <c r="S714" i="2" s="1"/>
  <c r="P898" i="2"/>
  <c r="P1086" i="2"/>
  <c r="B330" i="2"/>
  <c r="C330" i="2" s="1"/>
  <c r="P861" i="2"/>
  <c r="D1221" i="2"/>
  <c r="E867" i="2"/>
  <c r="P1266" i="2"/>
  <c r="Q1266" i="2" s="1"/>
  <c r="S1266" i="2" s="1"/>
  <c r="V1266" i="2" s="1"/>
  <c r="B1119" i="2"/>
  <c r="C1119" i="2" s="1"/>
  <c r="D902" i="2"/>
  <c r="E1124" i="2"/>
  <c r="E976" i="2"/>
  <c r="E683" i="2"/>
  <c r="D1548" i="2"/>
  <c r="D951" i="2"/>
  <c r="E1357" i="2"/>
  <c r="D1472" i="2"/>
  <c r="D800" i="2"/>
  <c r="E348" i="2"/>
  <c r="B1059" i="2"/>
  <c r="C1059" i="2" s="1"/>
  <c r="E1604" i="2"/>
  <c r="B1298" i="2"/>
  <c r="C1298" i="2" s="1"/>
  <c r="B514" i="2"/>
  <c r="C514" i="2" s="1"/>
  <c r="E1507" i="2"/>
  <c r="E870" i="2"/>
  <c r="E1559" i="2"/>
  <c r="B538" i="2"/>
  <c r="C538" i="2" s="1"/>
  <c r="E236" i="2"/>
  <c r="D501" i="2"/>
  <c r="E490" i="2"/>
  <c r="E514" i="2"/>
  <c r="B1550" i="2"/>
  <c r="C1550" i="2" s="1"/>
  <c r="D616" i="2"/>
  <c r="B1292" i="2"/>
  <c r="C1292" i="2" s="1"/>
  <c r="D230" i="2"/>
  <c r="E719" i="2"/>
  <c r="B1533" i="2"/>
  <c r="C1533" i="2" s="1"/>
  <c r="D1264" i="2"/>
  <c r="B1103" i="2"/>
  <c r="C1103" i="2" s="1"/>
  <c r="B1380" i="2"/>
  <c r="C1380" i="2" s="1"/>
  <c r="E1399" i="2"/>
  <c r="B847" i="2"/>
  <c r="C847" i="2" s="1"/>
  <c r="E1190" i="2"/>
  <c r="E815" i="2"/>
  <c r="E1441" i="2"/>
  <c r="D225" i="2"/>
  <c r="D1294" i="2"/>
  <c r="D537" i="2"/>
  <c r="P1557" i="2"/>
  <c r="Q1557" i="2" s="1"/>
  <c r="S1557" i="2" s="1"/>
  <c r="D1198" i="2"/>
  <c r="D1435" i="2"/>
  <c r="B1584" i="2"/>
  <c r="C1584" i="2" s="1"/>
  <c r="E378" i="2"/>
  <c r="E354" i="2"/>
  <c r="B235" i="2"/>
  <c r="C235" i="2" s="1"/>
  <c r="B325" i="2"/>
  <c r="C325" i="2" s="1"/>
  <c r="B782" i="2"/>
  <c r="C782" i="2" s="1"/>
  <c r="B1115" i="2"/>
  <c r="C1115" i="2" s="1"/>
  <c r="E1107" i="2"/>
  <c r="D351" i="2"/>
  <c r="B1555" i="2"/>
  <c r="C1555" i="2" s="1"/>
  <c r="E1096" i="2"/>
  <c r="D750" i="2"/>
  <c r="D1304" i="2"/>
  <c r="B250" i="2"/>
  <c r="C250" i="2" s="1"/>
  <c r="E1346" i="2"/>
  <c r="D460" i="2"/>
  <c r="P847" i="2"/>
  <c r="Q847" i="2" s="1"/>
  <c r="S847" i="2" s="1"/>
  <c r="D1300" i="2"/>
  <c r="D1278" i="2"/>
  <c r="P277" i="2"/>
  <c r="B543" i="2"/>
  <c r="C543" i="2" s="1"/>
  <c r="B485" i="2"/>
  <c r="C485" i="2" s="1"/>
  <c r="B1372" i="2"/>
  <c r="C1372" i="2" s="1"/>
  <c r="E905" i="2"/>
  <c r="E1519" i="2"/>
  <c r="P844" i="2"/>
  <c r="Q844" i="2" s="1"/>
  <c r="S844" i="2" s="1"/>
  <c r="D872" i="2"/>
  <c r="E1088" i="2"/>
  <c r="E1158" i="2"/>
  <c r="P407" i="2"/>
  <c r="B1338" i="2"/>
  <c r="C1338" i="2" s="1"/>
  <c r="B661" i="2"/>
  <c r="C661" i="2" s="1"/>
  <c r="B811" i="2"/>
  <c r="C811" i="2" s="1"/>
  <c r="E1270" i="2"/>
  <c r="E906" i="2"/>
  <c r="E1475" i="2"/>
  <c r="D1525" i="2"/>
  <c r="D1483" i="2"/>
  <c r="B375" i="2"/>
  <c r="C375" i="2" s="1"/>
  <c r="P336" i="2"/>
  <c r="Q336" i="2" s="1"/>
  <c r="S336" i="2" s="1"/>
  <c r="P1218" i="2"/>
  <c r="Q1218" i="2" s="1"/>
  <c r="S1218" i="2" s="1"/>
  <c r="V1218" i="2" s="1"/>
  <c r="D1236" i="2"/>
  <c r="E1344" i="2"/>
  <c r="P968" i="2"/>
  <c r="Q968" i="2" s="1"/>
  <c r="S968" i="2" s="1"/>
  <c r="P708" i="2"/>
  <c r="Q708" i="2" s="1"/>
  <c r="S708" i="2" s="1"/>
  <c r="E463" i="2"/>
  <c r="E964" i="2"/>
  <c r="D287" i="2"/>
  <c r="B715" i="2"/>
  <c r="C715" i="2" s="1"/>
  <c r="B1329" i="2"/>
  <c r="C1329" i="2" s="1"/>
  <c r="E497" i="2"/>
  <c r="B857" i="2"/>
  <c r="C857" i="2" s="1"/>
  <c r="E526" i="2"/>
  <c r="B363" i="2"/>
  <c r="C363" i="2" s="1"/>
  <c r="E608" i="2"/>
  <c r="D295" i="2"/>
  <c r="E1380" i="2"/>
  <c r="P296" i="2"/>
  <c r="Q296" i="2" s="1"/>
  <c r="S296" i="2" s="1"/>
  <c r="D356" i="2"/>
  <c r="E697" i="2"/>
  <c r="D392" i="2"/>
  <c r="D434" i="2"/>
  <c r="B1594" i="2"/>
  <c r="C1594" i="2" s="1"/>
  <c r="B309" i="2"/>
  <c r="C309" i="2" s="1"/>
  <c r="E1320" i="2"/>
  <c r="P323" i="2"/>
  <c r="Q323" i="2" s="1"/>
  <c r="S323" i="2" s="1"/>
  <c r="D1211" i="2"/>
  <c r="B1588" i="2"/>
  <c r="C1588" i="2" s="1"/>
  <c r="B1501" i="2"/>
  <c r="C1501" i="2" s="1"/>
  <c r="D1149" i="2"/>
  <c r="E1397" i="2"/>
  <c r="E616" i="2"/>
  <c r="B641" i="2"/>
  <c r="C641" i="2" s="1"/>
  <c r="P1200" i="2"/>
  <c r="D751" i="2"/>
  <c r="B432" i="2"/>
  <c r="C432" i="2" s="1"/>
  <c r="E901" i="2"/>
  <c r="D244" i="2"/>
  <c r="D813" i="2"/>
  <c r="B869" i="2"/>
  <c r="C869" i="2" s="1"/>
  <c r="P234" i="2"/>
  <c r="Q234" i="2" s="1"/>
  <c r="S234" i="2" s="1"/>
  <c r="B788" i="2"/>
  <c r="C788" i="2" s="1"/>
  <c r="P326" i="2"/>
  <c r="Q326" i="2" s="1"/>
  <c r="S326" i="2" s="1"/>
  <c r="B507" i="2"/>
  <c r="C507" i="2" s="1"/>
  <c r="D366" i="2"/>
  <c r="D1255" i="2"/>
  <c r="E1396" i="2"/>
  <c r="E765" i="2"/>
  <c r="B1373" i="2"/>
  <c r="C1373" i="2" s="1"/>
  <c r="D748" i="2"/>
  <c r="B1525" i="2"/>
  <c r="C1525" i="2" s="1"/>
  <c r="D625" i="2"/>
  <c r="P350" i="2"/>
  <c r="Q350" i="2" s="1"/>
  <c r="S350" i="2" s="1"/>
  <c r="D704" i="2"/>
  <c r="B1027" i="2"/>
  <c r="C1027" i="2" s="1"/>
  <c r="D707" i="2"/>
  <c r="D827" i="2"/>
  <c r="E701" i="2"/>
  <c r="E836" i="2"/>
  <c r="E1439" i="2"/>
  <c r="D855" i="2"/>
  <c r="B273" i="2"/>
  <c r="C273" i="2" s="1"/>
  <c r="B751" i="2"/>
  <c r="C751" i="2" s="1"/>
  <c r="E1384" i="2"/>
  <c r="D433" i="2"/>
  <c r="B987" i="2"/>
  <c r="C987" i="2" s="1"/>
  <c r="E1203" i="2"/>
  <c r="E531" i="2"/>
  <c r="E395" i="2"/>
  <c r="D1275" i="2"/>
  <c r="E1322" i="2"/>
  <c r="P232" i="2"/>
  <c r="Q232" i="2" s="1"/>
  <c r="S232" i="2" s="1"/>
  <c r="P1087" i="2"/>
  <c r="Q1087" i="2" s="1"/>
  <c r="S1087" i="2" s="1"/>
  <c r="E483" i="2"/>
  <c r="B1303" i="2"/>
  <c r="C1303" i="2" s="1"/>
  <c r="E446" i="2"/>
  <c r="B303" i="2"/>
  <c r="C303" i="2" s="1"/>
  <c r="D313" i="2"/>
  <c r="E407" i="2"/>
  <c r="B310" i="2"/>
  <c r="C310" i="2" s="1"/>
  <c r="B620" i="2"/>
  <c r="C620" i="2" s="1"/>
  <c r="B762" i="2"/>
  <c r="C762" i="2" s="1"/>
  <c r="B466" i="2"/>
  <c r="C466" i="2" s="1"/>
  <c r="D852" i="2"/>
  <c r="B1417" i="2"/>
  <c r="C1417" i="2" s="1"/>
  <c r="E1221" i="2"/>
  <c r="D1445" i="2"/>
  <c r="D619" i="2"/>
  <c r="E353" i="2"/>
  <c r="B1002" i="2"/>
  <c r="C1002" i="2" s="1"/>
  <c r="D394" i="2"/>
  <c r="E793" i="2"/>
  <c r="B1172" i="2"/>
  <c r="C1172" i="2" s="1"/>
  <c r="E979" i="2"/>
  <c r="E1282" i="2"/>
  <c r="E670" i="2"/>
  <c r="B555" i="2"/>
  <c r="C555" i="2" s="1"/>
  <c r="E351" i="2"/>
  <c r="P1251" i="2"/>
  <c r="Q1251" i="2" s="1"/>
  <c r="S1251" i="2" s="1"/>
  <c r="E975" i="2"/>
  <c r="D1267" i="2"/>
  <c r="P1379" i="2"/>
  <c r="D1584" i="2"/>
  <c r="D1190" i="2"/>
  <c r="B899" i="2"/>
  <c r="C899" i="2" s="1"/>
  <c r="E1470" i="2"/>
  <c r="D495" i="2"/>
  <c r="D1067" i="2"/>
  <c r="D1462" i="2"/>
  <c r="E700" i="2"/>
  <c r="D1481" i="2"/>
  <c r="B999" i="2"/>
  <c r="C999" i="2" s="1"/>
  <c r="E1286" i="2"/>
  <c r="P1191" i="2"/>
  <c r="Q1191" i="2" s="1"/>
  <c r="S1191" i="2" s="1"/>
  <c r="P459" i="2"/>
  <c r="Q459" i="2" s="1"/>
  <c r="S459" i="2" s="1"/>
  <c r="B682" i="2"/>
  <c r="C682" i="2" s="1"/>
  <c r="E875" i="2"/>
  <c r="B768" i="2"/>
  <c r="C768" i="2" s="1"/>
  <c r="D845" i="2"/>
  <c r="D467" i="2"/>
  <c r="B1256" i="2"/>
  <c r="C1256" i="2" s="1"/>
  <c r="D1407" i="2"/>
  <c r="B1009" i="2"/>
  <c r="C1009" i="2" s="1"/>
  <c r="D359" i="2"/>
  <c r="B697" i="2"/>
  <c r="C697" i="2" s="1"/>
  <c r="E654" i="2"/>
  <c r="D1020" i="2"/>
  <c r="E881" i="2"/>
  <c r="B678" i="2"/>
  <c r="C678" i="2" s="1"/>
  <c r="P1463" i="2"/>
  <c r="Q1463" i="2" s="1"/>
  <c r="S1463" i="2" s="1"/>
  <c r="P603" i="2"/>
  <c r="Q603" i="2" s="1"/>
  <c r="S603" i="2" s="1"/>
  <c r="P1261" i="2"/>
  <c r="Q1261" i="2" s="1"/>
  <c r="S1261" i="2" s="1"/>
  <c r="P1416" i="2"/>
  <c r="Q1416" i="2" s="1"/>
  <c r="S1416" i="2" s="1"/>
  <c r="P1242" i="2"/>
  <c r="Q1242" i="2" s="1"/>
  <c r="S1242" i="2" s="1"/>
  <c r="V1242" i="2" s="1"/>
  <c r="P1168" i="2"/>
  <c r="Q1168" i="2" s="1"/>
  <c r="S1168" i="2" s="1"/>
  <c r="V1168" i="2" s="1"/>
  <c r="P1421" i="2"/>
  <c r="Q1421" i="2" s="1"/>
  <c r="S1421" i="2" s="1"/>
  <c r="P496" i="2"/>
  <c r="Q496" i="2" s="1"/>
  <c r="S496" i="2" s="1"/>
  <c r="P304" i="2"/>
  <c r="P1526" i="2"/>
  <c r="P541" i="2"/>
  <c r="Q541" i="2" s="1"/>
  <c r="S541" i="2" s="1"/>
  <c r="P455" i="2"/>
  <c r="Q455" i="2" s="1"/>
  <c r="S455" i="2" s="1"/>
  <c r="P1333" i="2"/>
  <c r="P1196" i="2"/>
  <c r="Q1196" i="2" s="1"/>
  <c r="S1196" i="2" s="1"/>
  <c r="P1417" i="2"/>
  <c r="Q1417" i="2" s="1"/>
  <c r="S1417" i="2" s="1"/>
  <c r="P1062" i="2"/>
  <c r="Q1062" i="2" s="1"/>
  <c r="S1062" i="2" s="1"/>
  <c r="P288" i="2"/>
  <c r="Q288" i="2" s="1"/>
  <c r="S288" i="2" s="1"/>
  <c r="P1282" i="2"/>
  <c r="Q1282" i="2" s="1"/>
  <c r="S1282" i="2" s="1"/>
  <c r="V1282" i="2" s="1"/>
  <c r="P975" i="2"/>
  <c r="Q975" i="2" s="1"/>
  <c r="S975" i="2" s="1"/>
  <c r="P890" i="2"/>
  <c r="Q890" i="2" s="1"/>
  <c r="S890" i="2" s="1"/>
  <c r="P1399" i="2"/>
  <c r="Q1399" i="2" s="1"/>
  <c r="S1399" i="2" s="1"/>
  <c r="P539" i="2"/>
  <c r="Q539" i="2" s="1"/>
  <c r="S539" i="2" s="1"/>
  <c r="P440" i="2"/>
  <c r="Q440" i="2" s="1"/>
  <c r="S440" i="2" s="1"/>
  <c r="P1376" i="2"/>
  <c r="Q1376" i="2" s="1"/>
  <c r="S1376" i="2" s="1"/>
  <c r="P1071" i="2"/>
  <c r="Q1071" i="2" s="1"/>
  <c r="S1071" i="2" s="1"/>
  <c r="P786" i="2"/>
  <c r="P1182" i="2"/>
  <c r="Q1182" i="2" s="1"/>
  <c r="S1182" i="2" s="1"/>
  <c r="P1444" i="2"/>
  <c r="Q1444" i="2" s="1"/>
  <c r="S1444" i="2" s="1"/>
  <c r="V1444" i="2" s="1"/>
  <c r="P1400" i="2"/>
  <c r="Q1400" i="2" s="1"/>
  <c r="S1400" i="2" s="1"/>
  <c r="P498" i="2"/>
  <c r="Q498" i="2" s="1"/>
  <c r="S498" i="2" s="1"/>
  <c r="P666" i="2"/>
  <c r="Q666" i="2" s="1"/>
  <c r="S666" i="2" s="1"/>
  <c r="P548" i="2"/>
  <c r="P653" i="2"/>
  <c r="Q653" i="2" s="1"/>
  <c r="S653" i="2" s="1"/>
  <c r="P687" i="2"/>
  <c r="Q687" i="2" s="1"/>
  <c r="S687" i="2" s="1"/>
  <c r="P1170" i="2"/>
  <c r="Q1170" i="2" s="1"/>
  <c r="S1170" i="2" s="1"/>
  <c r="P246" i="2"/>
  <c r="Q246" i="2" s="1"/>
  <c r="S246" i="2" s="1"/>
  <c r="P725" i="2"/>
  <c r="Q725" i="2" s="1"/>
  <c r="S725" i="2" s="1"/>
  <c r="P636" i="2"/>
  <c r="Q636" i="2" s="1"/>
  <c r="S636" i="2" s="1"/>
  <c r="P713" i="2"/>
  <c r="Q713" i="2" s="1"/>
  <c r="S713" i="2" s="1"/>
  <c r="P1294" i="2"/>
  <c r="P828" i="2"/>
  <c r="Q828" i="2" s="1"/>
  <c r="S828" i="2" s="1"/>
  <c r="P893" i="2"/>
  <c r="Q893" i="2" s="1"/>
  <c r="S893" i="2" s="1"/>
  <c r="P610" i="2"/>
  <c r="P453" i="2"/>
  <c r="Q453" i="2" s="1"/>
  <c r="S453" i="2" s="1"/>
  <c r="P1173" i="2"/>
  <c r="P641" i="2"/>
  <c r="Q641" i="2" s="1"/>
  <c r="S641" i="2" s="1"/>
  <c r="P346" i="2"/>
  <c r="Q346" i="2" s="1"/>
  <c r="S346" i="2" s="1"/>
  <c r="P1427" i="2"/>
  <c r="Q1427" i="2" s="1"/>
  <c r="S1427" i="2" s="1"/>
  <c r="P1119" i="2"/>
  <c r="Q1119" i="2" s="1"/>
  <c r="S1119" i="2" s="1"/>
  <c r="P1022" i="2"/>
  <c r="Q1022" i="2" s="1"/>
  <c r="S1022" i="2" s="1"/>
  <c r="P970" i="2"/>
  <c r="Q970" i="2" s="1"/>
  <c r="S970" i="2" s="1"/>
  <c r="P677" i="2"/>
  <c r="Q677" i="2" s="1"/>
  <c r="S677" i="2" s="1"/>
  <c r="P709" i="2"/>
  <c r="Q709" i="2" s="1"/>
  <c r="S709" i="2" s="1"/>
  <c r="P435" i="2"/>
  <c r="Q435" i="2" s="1"/>
  <c r="S435" i="2" s="1"/>
  <c r="P731" i="2"/>
  <c r="Q731" i="2" s="1"/>
  <c r="S731" i="2" s="1"/>
  <c r="P392" i="2"/>
  <c r="Q392" i="2" s="1"/>
  <c r="S392" i="2" s="1"/>
  <c r="P993" i="2"/>
  <c r="Q993" i="2" s="1"/>
  <c r="S993" i="2" s="1"/>
  <c r="P1002" i="2"/>
  <c r="Q1002" i="2" s="1"/>
  <c r="S1002" i="2" s="1"/>
  <c r="P457" i="2"/>
  <c r="P1074" i="2"/>
  <c r="Q1074" i="2" s="1"/>
  <c r="S1074" i="2" s="1"/>
  <c r="P1423" i="2"/>
  <c r="P997" i="2"/>
  <c r="P1146" i="2"/>
  <c r="Q1146" i="2" s="1"/>
  <c r="S1146" i="2" s="1"/>
  <c r="P1377" i="2"/>
  <c r="Q1377" i="2" s="1"/>
  <c r="S1377" i="2" s="1"/>
  <c r="P1516" i="2"/>
  <c r="Q1516" i="2" s="1"/>
  <c r="S1516" i="2" s="1"/>
  <c r="V1516" i="2" s="1"/>
  <c r="P244" i="2"/>
  <c r="Q244" i="2" s="1"/>
  <c r="S244" i="2" s="1"/>
  <c r="P1498" i="2"/>
  <c r="Q1498" i="2" s="1"/>
  <c r="S1498" i="2" s="1"/>
  <c r="V1498" i="2" s="1"/>
  <c r="P1058" i="2"/>
  <c r="Q1058" i="2" s="1"/>
  <c r="S1058" i="2" s="1"/>
  <c r="P345" i="2"/>
  <c r="Q345" i="2" s="1"/>
  <c r="S345" i="2" s="1"/>
  <c r="P1052" i="2"/>
  <c r="Q1052" i="2" s="1"/>
  <c r="S1052" i="2" s="1"/>
  <c r="P951" i="2"/>
  <c r="Q951" i="2" s="1"/>
  <c r="S951" i="2" s="1"/>
  <c r="P1129" i="2"/>
  <c r="Q1129" i="2" s="1"/>
  <c r="S1129" i="2" s="1"/>
  <c r="P389" i="2"/>
  <c r="Q389" i="2" s="1"/>
  <c r="S389" i="2" s="1"/>
  <c r="P1469" i="2"/>
  <c r="Q1469" i="2" s="1"/>
  <c r="S1469" i="2" s="1"/>
  <c r="P473" i="2"/>
  <c r="Q473" i="2" s="1"/>
  <c r="S473" i="2" s="1"/>
  <c r="P278" i="2"/>
  <c r="Q278" i="2" s="1"/>
  <c r="S278" i="2" s="1"/>
  <c r="P784" i="2"/>
  <c r="Q784" i="2" s="1"/>
  <c r="S784" i="2" s="1"/>
  <c r="P583" i="2"/>
  <c r="P1429" i="2"/>
  <c r="Q1429" i="2" s="1"/>
  <c r="S1429" i="2" s="1"/>
  <c r="P657" i="2"/>
  <c r="Q657" i="2" s="1"/>
  <c r="S657" i="2" s="1"/>
  <c r="P1084" i="2"/>
  <c r="P841" i="2"/>
  <c r="P1327" i="2"/>
  <c r="P1247" i="2"/>
  <c r="Q1247" i="2" s="1"/>
  <c r="S1247" i="2" s="1"/>
  <c r="V1247" i="2" s="1"/>
  <c r="P829" i="2"/>
  <c r="Q829" i="2" s="1"/>
  <c r="S829" i="2" s="1"/>
  <c r="P704" i="2"/>
  <c r="P562" i="2"/>
  <c r="Q562" i="2" s="1"/>
  <c r="S562" i="2" s="1"/>
  <c r="P1497" i="2"/>
  <c r="Q1497" i="2" s="1"/>
  <c r="S1497" i="2" s="1"/>
  <c r="V1497" i="2" s="1"/>
  <c r="P698" i="2"/>
  <c r="Q698" i="2" s="1"/>
  <c r="S698" i="2" s="1"/>
  <c r="P1043" i="2"/>
  <c r="Q1043" i="2" s="1"/>
  <c r="S1043" i="2" s="1"/>
  <c r="P281" i="2"/>
  <c r="P639" i="2"/>
  <c r="P1267" i="2"/>
  <c r="Q1267" i="2" s="1"/>
  <c r="S1267" i="2" s="1"/>
  <c r="V1267" i="2" s="1"/>
  <c r="P1401" i="2"/>
  <c r="Q1401" i="2" s="1"/>
  <c r="S1401" i="2" s="1"/>
  <c r="P301" i="2"/>
  <c r="Q301" i="2" s="1"/>
  <c r="S301" i="2" s="1"/>
  <c r="P1149" i="2"/>
  <c r="Q1149" i="2" s="1"/>
  <c r="S1149" i="2" s="1"/>
  <c r="P664" i="2"/>
  <c r="P1132" i="2"/>
  <c r="Q1132" i="2" s="1"/>
  <c r="S1132" i="2" s="1"/>
  <c r="P1256" i="2"/>
  <c r="Q1256" i="2" s="1"/>
  <c r="S1256" i="2" s="1"/>
  <c r="V1256" i="2" s="1"/>
  <c r="P984" i="2"/>
  <c r="Q984" i="2" s="1"/>
  <c r="S984" i="2" s="1"/>
  <c r="P891" i="2"/>
  <c r="Q891" i="2" s="1"/>
  <c r="S891" i="2" s="1"/>
  <c r="P362" i="2"/>
  <c r="Q362" i="2" s="1"/>
  <c r="S362" i="2" s="1"/>
  <c r="P1125" i="2"/>
  <c r="P1221" i="2"/>
  <c r="P1122" i="2"/>
  <c r="Q1122" i="2" s="1"/>
  <c r="S1122" i="2" s="1"/>
  <c r="P540" i="2"/>
  <c r="Q540" i="2" s="1"/>
  <c r="S540" i="2" s="1"/>
  <c r="P1385" i="2"/>
  <c r="Q1385" i="2" s="1"/>
  <c r="S1385" i="2" s="1"/>
  <c r="P1134" i="2"/>
  <c r="Q1134" i="2" s="1"/>
  <c r="S1134" i="2" s="1"/>
  <c r="P962" i="2"/>
  <c r="Q962" i="2" s="1"/>
  <c r="S962" i="2" s="1"/>
  <c r="P826" i="2"/>
  <c r="Q826" i="2" s="1"/>
  <c r="S826" i="2" s="1"/>
  <c r="P1013" i="2"/>
  <c r="Q1013" i="2" s="1"/>
  <c r="S1013" i="2" s="1"/>
  <c r="P928" i="2"/>
  <c r="P988" i="2"/>
  <c r="Q988" i="2" s="1"/>
  <c r="S988" i="2" s="1"/>
  <c r="P969" i="2"/>
  <c r="Q969" i="2" s="1"/>
  <c r="S969" i="2" s="1"/>
  <c r="P1195" i="2"/>
  <c r="Q1195" i="2" s="1"/>
  <c r="S1195" i="2" s="1"/>
  <c r="P820" i="2"/>
  <c r="Q820" i="2" s="1"/>
  <c r="S820" i="2" s="1"/>
  <c r="P788" i="2"/>
  <c r="Q788" i="2" s="1"/>
  <c r="S788" i="2" s="1"/>
  <c r="P1023" i="2"/>
  <c r="Q1023" i="2" s="1"/>
  <c r="S1023" i="2" s="1"/>
  <c r="P1255" i="2"/>
  <c r="P875" i="2"/>
  <c r="P897" i="2"/>
  <c r="Q897" i="2" s="1"/>
  <c r="S897" i="2" s="1"/>
  <c r="P1230" i="2"/>
  <c r="Q1230" i="2" s="1"/>
  <c r="S1230" i="2" s="1"/>
  <c r="V1230" i="2" s="1"/>
  <c r="P1113" i="2"/>
  <c r="Q1113" i="2" s="1"/>
  <c r="S1113" i="2" s="1"/>
  <c r="P1537" i="2"/>
  <c r="Q1537" i="2" s="1"/>
  <c r="S1537" i="2" s="1"/>
  <c r="V1537" i="2" s="1"/>
  <c r="P445" i="2"/>
  <c r="Q445" i="2" s="1"/>
  <c r="S445" i="2" s="1"/>
  <c r="P694" i="2"/>
  <c r="Q694" i="2" s="1"/>
  <c r="S694" i="2" s="1"/>
  <c r="P1198" i="2"/>
  <c r="Q1198" i="2" s="1"/>
  <c r="S1198" i="2" s="1"/>
  <c r="P927" i="2"/>
  <c r="Q927" i="2" s="1"/>
  <c r="S927" i="2" s="1"/>
  <c r="P1080" i="2"/>
  <c r="Q1080" i="2" s="1"/>
  <c r="S1080" i="2" s="1"/>
  <c r="P832" i="2"/>
  <c r="Q832" i="2" s="1"/>
  <c r="S832" i="2" s="1"/>
  <c r="P693" i="2"/>
  <c r="P1056" i="2"/>
  <c r="Q1056" i="2" s="1"/>
  <c r="S1056" i="2" s="1"/>
  <c r="P1449" i="2"/>
  <c r="Q1449" i="2" s="1"/>
  <c r="S1449" i="2" s="1"/>
  <c r="P735" i="2"/>
  <c r="Q735" i="2" s="1"/>
  <c r="S735" i="2" s="1"/>
  <c r="P966" i="2"/>
  <c r="Q966" i="2" s="1"/>
  <c r="S966" i="2" s="1"/>
  <c r="P1390" i="2"/>
  <c r="Q1390" i="2" s="1"/>
  <c r="S1390" i="2" s="1"/>
  <c r="P948" i="2"/>
  <c r="P727" i="2"/>
  <c r="Q727" i="2" s="1"/>
  <c r="S727" i="2" s="1"/>
  <c r="P1361" i="2"/>
  <c r="Q1361" i="2" s="1"/>
  <c r="S1361" i="2" s="1"/>
  <c r="P1248" i="2"/>
  <c r="P1153" i="2"/>
  <c r="Q1153" i="2" s="1"/>
  <c r="S1153" i="2" s="1"/>
  <c r="P551" i="2"/>
  <c r="Q551" i="2" s="1"/>
  <c r="S551" i="2" s="1"/>
  <c r="P750" i="2"/>
  <c r="Q750" i="2" s="1"/>
  <c r="S750" i="2" s="1"/>
  <c r="P1234" i="2"/>
  <c r="Q1234" i="2" s="1"/>
  <c r="S1234" i="2" s="1"/>
  <c r="V1234" i="2" s="1"/>
  <c r="P1395" i="2"/>
  <c r="Q1395" i="2" s="1"/>
  <c r="S1395" i="2" s="1"/>
  <c r="P531" i="2"/>
  <c r="Q531" i="2" s="1"/>
  <c r="S531" i="2" s="1"/>
  <c r="P696" i="2"/>
  <c r="Q696" i="2" s="1"/>
  <c r="S696" i="2" s="1"/>
  <c r="P1372" i="2"/>
  <c r="Q1372" i="2" s="1"/>
  <c r="S1372" i="2" s="1"/>
  <c r="P648" i="2"/>
  <c r="Q648" i="2" s="1"/>
  <c r="S648" i="2" s="1"/>
  <c r="P986" i="2"/>
  <c r="Q986" i="2" s="1"/>
  <c r="S986" i="2" s="1"/>
  <c r="P315" i="2"/>
  <c r="Q315" i="2" s="1"/>
  <c r="S315" i="2" s="1"/>
  <c r="P1357" i="2"/>
  <c r="Q1357" i="2" s="1"/>
  <c r="S1357" i="2" s="1"/>
  <c r="P1510" i="2"/>
  <c r="Q1510" i="2" s="1"/>
  <c r="S1510" i="2" s="1"/>
  <c r="V1510" i="2" s="1"/>
  <c r="P1244" i="2"/>
  <c r="Q1244" i="2" s="1"/>
  <c r="S1244" i="2" s="1"/>
  <c r="V1244" i="2" s="1"/>
  <c r="P922" i="2"/>
  <c r="Q922" i="2" s="1"/>
  <c r="S922" i="2" s="1"/>
  <c r="P365" i="2"/>
  <c r="Q365" i="2" s="1"/>
  <c r="S365" i="2" s="1"/>
  <c r="P536" i="2"/>
  <c r="Q536" i="2" s="1"/>
  <c r="S536" i="2" s="1"/>
  <c r="P451" i="2"/>
  <c r="Q451" i="2" s="1"/>
  <c r="S451" i="2" s="1"/>
  <c r="P712" i="2"/>
  <c r="P764" i="2"/>
  <c r="Q764" i="2" s="1"/>
  <c r="S764" i="2" s="1"/>
  <c r="P956" i="2"/>
  <c r="Q956" i="2" s="1"/>
  <c r="S956" i="2" s="1"/>
  <c r="P730" i="2"/>
  <c r="Q730" i="2" s="1"/>
  <c r="S730" i="2" s="1"/>
  <c r="P1100" i="2"/>
  <c r="Q1100" i="2" s="1"/>
  <c r="S1100" i="2" s="1"/>
  <c r="P305" i="2"/>
  <c r="Q305" i="2" s="1"/>
  <c r="S305" i="2" s="1"/>
  <c r="P525" i="2"/>
  <c r="Q525" i="2" s="1"/>
  <c r="S525" i="2" s="1"/>
  <c r="P1031" i="2"/>
  <c r="Q1031" i="2" s="1"/>
  <c r="S1031" i="2" s="1"/>
  <c r="P1336" i="2"/>
  <c r="Q1336" i="2" s="1"/>
  <c r="S1336" i="2" s="1"/>
  <c r="P833" i="2"/>
  <c r="Q833" i="2" s="1"/>
  <c r="S833" i="2" s="1"/>
  <c r="P1366" i="2"/>
  <c r="Q1366" i="2" s="1"/>
  <c r="S1366" i="2" s="1"/>
  <c r="P1029" i="2"/>
  <c r="Q1029" i="2" s="1"/>
  <c r="S1029" i="2" s="1"/>
  <c r="P1445" i="2"/>
  <c r="Q1445" i="2" s="1"/>
  <c r="S1445" i="2" s="1"/>
  <c r="V1445" i="2" s="1"/>
  <c r="P726" i="2"/>
  <c r="Q726" i="2" s="1"/>
  <c r="S726" i="2" s="1"/>
  <c r="P807" i="2"/>
  <c r="Q807" i="2" s="1"/>
  <c r="S807" i="2" s="1"/>
  <c r="P1490" i="2"/>
  <c r="P1140" i="2"/>
  <c r="P543" i="2"/>
  <c r="Q543" i="2" s="1"/>
  <c r="S543" i="2" s="1"/>
  <c r="P1021" i="2"/>
  <c r="Q1021" i="2" s="1"/>
  <c r="S1021" i="2" s="1"/>
  <c r="P1496" i="2"/>
  <c r="Q1496" i="2" s="1"/>
  <c r="S1496" i="2" s="1"/>
  <c r="V1496" i="2" s="1"/>
  <c r="P671" i="2"/>
  <c r="Q671" i="2" s="1"/>
  <c r="S671" i="2" s="1"/>
  <c r="P1373" i="2"/>
  <c r="Q1373" i="2" s="1"/>
  <c r="S1373" i="2" s="1"/>
  <c r="P1552" i="2"/>
  <c r="Q1552" i="2" s="1"/>
  <c r="S1552" i="2" s="1"/>
  <c r="V1552" i="2" s="1"/>
  <c r="P1420" i="2"/>
  <c r="Q1420" i="2" s="1"/>
  <c r="S1420" i="2" s="1"/>
  <c r="P1131" i="2"/>
  <c r="Q1131" i="2" s="1"/>
  <c r="S1131" i="2" s="1"/>
  <c r="P772" i="2"/>
  <c r="Q772" i="2" s="1"/>
  <c r="S772" i="2" s="1"/>
  <c r="P1419" i="2"/>
  <c r="Q1419" i="2" s="1"/>
  <c r="S1419" i="2" s="1"/>
  <c r="P1008" i="2"/>
  <c r="P1335" i="2"/>
  <c r="Q1335" i="2" s="1"/>
  <c r="S1335" i="2" s="1"/>
  <c r="P751" i="2"/>
  <c r="Q751" i="2" s="1"/>
  <c r="S751" i="2" s="1"/>
  <c r="P1365" i="2"/>
  <c r="Q1365" i="2" s="1"/>
  <c r="S1365" i="2" s="1"/>
  <c r="P274" i="2"/>
  <c r="Q274" i="2" s="1"/>
  <c r="S274" i="2" s="1"/>
  <c r="P408" i="2"/>
  <c r="Q408" i="2" s="1"/>
  <c r="S408" i="2" s="1"/>
  <c r="P769" i="2"/>
  <c r="P327" i="2"/>
  <c r="P965" i="2"/>
  <c r="Q965" i="2" s="1"/>
  <c r="S965" i="2" s="1"/>
  <c r="P929" i="2"/>
  <c r="Q929" i="2" s="1"/>
  <c r="S929" i="2" s="1"/>
  <c r="P272" i="2"/>
  <c r="Q272" i="2" s="1"/>
  <c r="S272" i="2" s="1"/>
  <c r="P571" i="2"/>
  <c r="Q571" i="2" s="1"/>
  <c r="S571" i="2" s="1"/>
  <c r="P1108" i="2"/>
  <c r="Q1108" i="2" s="1"/>
  <c r="S1108" i="2" s="1"/>
  <c r="P1305" i="2"/>
  <c r="Q1305" i="2" s="1"/>
  <c r="S1305" i="2" s="1"/>
  <c r="P1291" i="2"/>
  <c r="Q1291" i="2" s="1"/>
  <c r="S1291" i="2" s="1"/>
  <c r="V1291" i="2" s="1"/>
  <c r="P245" i="2"/>
  <c r="Q245" i="2" s="1"/>
  <c r="S245" i="2" s="1"/>
  <c r="P553" i="2"/>
  <c r="Q553" i="2" s="1"/>
  <c r="S553" i="2" s="1"/>
  <c r="P1550" i="2"/>
  <c r="P397" i="2"/>
  <c r="Q397" i="2" s="1"/>
  <c r="S397" i="2" s="1"/>
  <c r="P1070" i="2"/>
  <c r="Q1070" i="2" s="1"/>
  <c r="S1070" i="2" s="1"/>
  <c r="P1415" i="2"/>
  <c r="Q1415" i="2" s="1"/>
  <c r="S1415" i="2" s="1"/>
  <c r="P1515" i="2"/>
  <c r="Q1515" i="2" s="1"/>
  <c r="S1515" i="2" s="1"/>
  <c r="V1515" i="2" s="1"/>
  <c r="P384" i="2"/>
  <c r="Q384" i="2" s="1"/>
  <c r="S384" i="2" s="1"/>
  <c r="P1035" i="2"/>
  <c r="Q1035" i="2" s="1"/>
  <c r="S1035" i="2" s="1"/>
  <c r="P1408" i="2"/>
  <c r="P270" i="2"/>
  <c r="Q270" i="2" s="1"/>
  <c r="S270" i="2" s="1"/>
  <c r="P1151" i="2"/>
  <c r="Q1151" i="2" s="1"/>
  <c r="S1151" i="2" s="1"/>
  <c r="P740" i="2"/>
  <c r="P1301" i="2"/>
  <c r="P1563" i="2"/>
  <c r="P1124" i="2"/>
  <c r="Q1124" i="2" s="1"/>
  <c r="S1124" i="2" s="1"/>
  <c r="P448" i="2"/>
  <c r="P700" i="2"/>
  <c r="Q700" i="2" s="1"/>
  <c r="S700" i="2" s="1"/>
  <c r="P1158" i="2"/>
  <c r="P649" i="2"/>
  <c r="Q649" i="2" s="1"/>
  <c r="S649" i="2" s="1"/>
  <c r="P1443" i="2"/>
  <c r="Q1443" i="2" s="1"/>
  <c r="S1443" i="2" s="1"/>
  <c r="V1443" i="2" s="1"/>
  <c r="P312" i="2"/>
  <c r="Q312" i="2" s="1"/>
  <c r="S312" i="2" s="1"/>
  <c r="P1078" i="2"/>
  <c r="Q1078" i="2" s="1"/>
  <c r="S1078" i="2" s="1"/>
  <c r="P926" i="2"/>
  <c r="Q926" i="2" s="1"/>
  <c r="S926" i="2" s="1"/>
  <c r="P1075" i="2"/>
  <c r="Q1075" i="2" s="1"/>
  <c r="S1075" i="2" s="1"/>
  <c r="P1069" i="2"/>
  <c r="Q1069" i="2" s="1"/>
  <c r="S1069" i="2" s="1"/>
  <c r="P1010" i="2"/>
  <c r="Q1010" i="2" s="1"/>
  <c r="S1010" i="2" s="1"/>
  <c r="P456" i="2"/>
  <c r="Q456" i="2" s="1"/>
  <c r="S456" i="2" s="1"/>
  <c r="P686" i="2"/>
  <c r="Q686" i="2" s="1"/>
  <c r="S686" i="2" s="1"/>
  <c r="P377" i="2"/>
  <c r="P519" i="2"/>
  <c r="Q519" i="2" s="1"/>
  <c r="S519" i="2" s="1"/>
  <c r="P811" i="2"/>
  <c r="P979" i="2"/>
  <c r="Q979" i="2" s="1"/>
  <c r="S979" i="2" s="1"/>
  <c r="P1501" i="2"/>
  <c r="Q1501" i="2" s="1"/>
  <c r="S1501" i="2" s="1"/>
  <c r="V1501" i="2" s="1"/>
  <c r="P615" i="2"/>
  <c r="Q615" i="2" s="1"/>
  <c r="S615" i="2" s="1"/>
  <c r="P1387" i="2"/>
  <c r="P1145" i="2"/>
  <c r="Q1145" i="2" s="1"/>
  <c r="S1145" i="2" s="1"/>
  <c r="P702" i="2"/>
  <c r="Q702" i="2" s="1"/>
  <c r="S702" i="2" s="1"/>
  <c r="P1556" i="2"/>
  <c r="Q1556" i="2" s="1"/>
  <c r="S1556" i="2" s="1"/>
  <c r="V1556" i="2" s="1"/>
  <c r="P1177" i="2"/>
  <c r="Q1177" i="2" s="1"/>
  <c r="S1177" i="2" s="1"/>
  <c r="P715" i="2"/>
  <c r="Q715" i="2" s="1"/>
  <c r="S715" i="2" s="1"/>
  <c r="P1001" i="2"/>
  <c r="P597" i="2"/>
  <c r="Q597" i="2" s="1"/>
  <c r="S597" i="2" s="1"/>
  <c r="P556" i="2"/>
  <c r="Q556" i="2" s="1"/>
  <c r="S556" i="2" s="1"/>
  <c r="P1433" i="2"/>
  <c r="Q1433" i="2" s="1"/>
  <c r="S1433" i="2" s="1"/>
  <c r="P1425" i="2"/>
  <c r="Q1425" i="2" s="1"/>
  <c r="S1425" i="2" s="1"/>
  <c r="P1092" i="2"/>
  <c r="P691" i="2"/>
  <c r="P393" i="2"/>
  <c r="P912" i="2"/>
  <c r="P501" i="2"/>
  <c r="P286" i="2"/>
  <c r="P592" i="2"/>
  <c r="Q592" i="2" s="1"/>
  <c r="S592" i="2" s="1"/>
  <c r="P1525" i="2"/>
  <c r="Q1525" i="2" s="1"/>
  <c r="S1525" i="2" s="1"/>
  <c r="V1525" i="2" s="1"/>
  <c r="P360" i="2"/>
  <c r="Q360" i="2" s="1"/>
  <c r="S360" i="2" s="1"/>
  <c r="P816" i="2"/>
  <c r="P672" i="2"/>
  <c r="Q672" i="2" s="1"/>
  <c r="S672" i="2" s="1"/>
  <c r="P644" i="2"/>
  <c r="P1032" i="2"/>
  <c r="Q1032" i="2" s="1"/>
  <c r="S1032" i="2" s="1"/>
  <c r="P762" i="2"/>
  <c r="P1160" i="2"/>
  <c r="Q1160" i="2" s="1"/>
  <c r="S1160" i="2" s="1"/>
  <c r="P810" i="2"/>
  <c r="P1028" i="2"/>
  <c r="P398" i="2"/>
  <c r="Q398" i="2" s="1"/>
  <c r="S398" i="2" s="1"/>
  <c r="P1296" i="2"/>
  <c r="Q1296" i="2" s="1"/>
  <c r="S1296" i="2" s="1"/>
  <c r="V1296" i="2" s="1"/>
  <c r="P1073" i="2"/>
  <c r="Q1073" i="2" s="1"/>
  <c r="S1073" i="2" s="1"/>
  <c r="P1059" i="2"/>
  <c r="Q1059" i="2" s="1"/>
  <c r="S1059" i="2" s="1"/>
  <c r="P1303" i="2"/>
  <c r="Q1303" i="2" s="1"/>
  <c r="S1303" i="2" s="1"/>
  <c r="P1167" i="2"/>
  <c r="Q1167" i="2" s="1"/>
  <c r="S1167" i="2" s="1"/>
  <c r="P758" i="2"/>
  <c r="Q758" i="2" s="1"/>
  <c r="S758" i="2" s="1"/>
  <c r="P1262" i="2"/>
  <c r="Q1262" i="2" s="1"/>
  <c r="S1262" i="2" s="1"/>
  <c r="V1262" i="2" s="1"/>
  <c r="P983" i="2"/>
  <c r="Q983" i="2" s="1"/>
  <c r="S983" i="2" s="1"/>
  <c r="P1011" i="2"/>
  <c r="Q1011" i="2" s="1"/>
  <c r="S1011" i="2" s="1"/>
  <c r="P461" i="2"/>
  <c r="Q461" i="2" s="1"/>
  <c r="S461" i="2" s="1"/>
  <c r="P859" i="2"/>
  <c r="Q859" i="2" s="1"/>
  <c r="S859" i="2" s="1"/>
  <c r="P957" i="2"/>
  <c r="Q957" i="2" s="1"/>
  <c r="S957" i="2" s="1"/>
  <c r="P537" i="2"/>
  <c r="Q537" i="2" s="1"/>
  <c r="S537" i="2" s="1"/>
  <c r="P1495" i="2"/>
  <c r="P1560" i="2"/>
  <c r="Q1560" i="2" s="1"/>
  <c r="S1560" i="2" s="1"/>
  <c r="P996" i="2"/>
  <c r="Q996" i="2" s="1"/>
  <c r="S996" i="2" s="1"/>
  <c r="P1360" i="2"/>
  <c r="Q1360" i="2" s="1"/>
  <c r="S1360" i="2" s="1"/>
  <c r="P921" i="2"/>
  <c r="Q921" i="2" s="1"/>
  <c r="S921" i="2" s="1"/>
  <c r="P760" i="2"/>
  <c r="P1049" i="2"/>
  <c r="Q1049" i="2" s="1"/>
  <c r="S1049" i="2" s="1"/>
  <c r="P689" i="2"/>
  <c r="Q689" i="2" s="1"/>
  <c r="S689" i="2" s="1"/>
  <c r="P1245" i="2"/>
  <c r="Q1245" i="2" s="1"/>
  <c r="S1245" i="2" s="1"/>
  <c r="V1245" i="2" s="1"/>
  <c r="P361" i="2"/>
  <c r="Q361" i="2" s="1"/>
  <c r="S361" i="2" s="1"/>
  <c r="P650" i="2"/>
  <c r="Q650" i="2" s="1"/>
  <c r="S650" i="2" s="1"/>
  <c r="P437" i="2"/>
  <c r="Q437" i="2" s="1"/>
  <c r="S437" i="2" s="1"/>
  <c r="P1529" i="2"/>
  <c r="Q1529" i="2" s="1"/>
  <c r="S1529" i="2" s="1"/>
  <c r="V1529" i="2" s="1"/>
  <c r="P1298" i="2"/>
  <c r="P300" i="2"/>
  <c r="Q300" i="2" s="1"/>
  <c r="S300" i="2" s="1"/>
  <c r="P1383" i="2"/>
  <c r="Q1383" i="2" s="1"/>
  <c r="S1383" i="2" s="1"/>
  <c r="P1243" i="2"/>
  <c r="Q1243" i="2" s="1"/>
  <c r="S1243" i="2" s="1"/>
  <c r="V1243" i="2" s="1"/>
  <c r="P1364" i="2"/>
  <c r="Q1364" i="2" s="1"/>
  <c r="S1364" i="2" s="1"/>
  <c r="P1094" i="2"/>
  <c r="Q1094" i="2" s="1"/>
  <c r="S1094" i="2" s="1"/>
  <c r="P283" i="2"/>
  <c r="Q283" i="2" s="1"/>
  <c r="S283" i="2" s="1"/>
  <c r="P1512" i="2"/>
  <c r="Q1512" i="2" s="1"/>
  <c r="S1512" i="2" s="1"/>
  <c r="V1512" i="2" s="1"/>
  <c r="P466" i="2"/>
  <c r="Q466" i="2" s="1"/>
  <c r="S466" i="2" s="1"/>
  <c r="P947" i="2"/>
  <c r="Q947" i="2" s="1"/>
  <c r="S947" i="2" s="1"/>
  <c r="P303" i="2"/>
  <c r="Q303" i="2" s="1"/>
  <c r="S303" i="2" s="1"/>
  <c r="P930" i="2"/>
  <c r="Q930" i="2" s="1"/>
  <c r="S930" i="2" s="1"/>
  <c r="P504" i="2"/>
  <c r="P1553" i="2"/>
  <c r="Q1553" i="2" s="1"/>
  <c r="S1553" i="2" s="1"/>
  <c r="V1553" i="2" s="1"/>
  <c r="P1235" i="2"/>
  <c r="Q1235" i="2" s="1"/>
  <c r="S1235" i="2" s="1"/>
  <c r="V1235" i="2" s="1"/>
  <c r="P669" i="2"/>
  <c r="Q669" i="2" s="1"/>
  <c r="S669" i="2" s="1"/>
  <c r="P552" i="2"/>
  <c r="Q552" i="2" s="1"/>
  <c r="S552" i="2" s="1"/>
  <c r="P1350" i="2"/>
  <c r="Q1350" i="2" s="1"/>
  <c r="S1350" i="2" s="1"/>
  <c r="P1229" i="2"/>
  <c r="P395" i="2"/>
  <c r="Q395" i="2" s="1"/>
  <c r="S395" i="2" s="1"/>
  <c r="P1527" i="2"/>
  <c r="Q1527" i="2" s="1"/>
  <c r="S1527" i="2" s="1"/>
  <c r="V1527" i="2" s="1"/>
  <c r="P813" i="2"/>
  <c r="Q813" i="2" s="1"/>
  <c r="S813" i="2" s="1"/>
  <c r="P629" i="2"/>
  <c r="P967" i="2"/>
  <c r="Q967" i="2" s="1"/>
  <c r="S967" i="2" s="1"/>
  <c r="P878" i="2"/>
  <c r="Q878" i="2" s="1"/>
  <c r="S878" i="2" s="1"/>
  <c r="P276" i="2"/>
  <c r="Q276" i="2" s="1"/>
  <c r="S276" i="2" s="1"/>
  <c r="P1285" i="2"/>
  <c r="Q1285" i="2" s="1"/>
  <c r="S1285" i="2" s="1"/>
  <c r="V1285" i="2" s="1"/>
  <c r="P1371" i="2"/>
  <c r="Q1371" i="2" s="1"/>
  <c r="S1371" i="2" s="1"/>
  <c r="P402" i="2"/>
  <c r="Q402" i="2" s="1"/>
  <c r="S402" i="2" s="1"/>
  <c r="P1222" i="2"/>
  <c r="Q1222" i="2" s="1"/>
  <c r="S1222" i="2" s="1"/>
  <c r="P1233" i="2"/>
  <c r="Q1233" i="2" s="1"/>
  <c r="S1233" i="2" s="1"/>
  <c r="V1233" i="2" s="1"/>
  <c r="P1187" i="2"/>
  <c r="Q1187" i="2" s="1"/>
  <c r="S1187" i="2" s="1"/>
  <c r="P357" i="2"/>
  <c r="P884" i="2"/>
  <c r="Q884" i="2" s="1"/>
  <c r="S884" i="2" s="1"/>
  <c r="P290" i="2"/>
  <c r="Q290" i="2" s="1"/>
  <c r="S290" i="2" s="1"/>
  <c r="P1082" i="2"/>
  <c r="Q1082" i="2" s="1"/>
  <c r="S1082" i="2" s="1"/>
  <c r="P535" i="2"/>
  <c r="P1358" i="2"/>
  <c r="Q1358" i="2" s="1"/>
  <c r="S1358" i="2" s="1"/>
  <c r="P1329" i="2"/>
  <c r="Q1329" i="2" s="1"/>
  <c r="S1329" i="2" s="1"/>
  <c r="P273" i="2"/>
  <c r="P1060" i="2"/>
  <c r="P1276" i="2"/>
  <c r="Q1276" i="2" s="1"/>
  <c r="S1276" i="2" s="1"/>
  <c r="V1276" i="2" s="1"/>
  <c r="P774" i="2"/>
  <c r="P856" i="2"/>
  <c r="Q856" i="2" s="1"/>
  <c r="S856" i="2" s="1"/>
  <c r="P549" i="2"/>
  <c r="Q549" i="2" s="1"/>
  <c r="S549" i="2" s="1"/>
  <c r="P262" i="2"/>
  <c r="Q262" i="2" s="1"/>
  <c r="S262" i="2" s="1"/>
  <c r="P1095" i="2"/>
  <c r="Q1095" i="2" s="1"/>
  <c r="S1095" i="2" s="1"/>
  <c r="P316" i="2"/>
  <c r="Q316" i="2" s="1"/>
  <c r="S316" i="2" s="1"/>
  <c r="P1424" i="2"/>
  <c r="Q1424" i="2" s="1"/>
  <c r="S1424" i="2" s="1"/>
  <c r="P279" i="2"/>
  <c r="Q279" i="2" s="1"/>
  <c r="S279" i="2" s="1"/>
  <c r="P378" i="2"/>
  <c r="Q378" i="2" s="1"/>
  <c r="S378" i="2" s="1"/>
  <c r="P665" i="2"/>
  <c r="Q665" i="2" s="1"/>
  <c r="S665" i="2" s="1"/>
  <c r="P954" i="2"/>
  <c r="Q954" i="2" s="1"/>
  <c r="S954" i="2" s="1"/>
  <c r="P1564" i="2"/>
  <c r="Q1564" i="2" s="1"/>
  <c r="S1564" i="2" s="1"/>
  <c r="V1564" i="2" s="1"/>
  <c r="P857" i="2"/>
  <c r="Q857" i="2" s="1"/>
  <c r="S857" i="2" s="1"/>
  <c r="P1363" i="2"/>
  <c r="Q1363" i="2" s="1"/>
  <c r="S1363" i="2" s="1"/>
  <c r="P688" i="2"/>
  <c r="P310" i="2"/>
  <c r="P416" i="2"/>
  <c r="P1441" i="2"/>
  <c r="P566" i="2"/>
  <c r="Q566" i="2" s="1"/>
  <c r="S566" i="2" s="1"/>
  <c r="P845" i="2"/>
  <c r="P994" i="2"/>
  <c r="Q994" i="2" s="1"/>
  <c r="S994" i="2" s="1"/>
  <c r="P674" i="2"/>
  <c r="Q674" i="2" s="1"/>
  <c r="S674" i="2" s="1"/>
  <c r="P1076" i="2"/>
  <c r="Q1076" i="2" s="1"/>
  <c r="S1076" i="2" s="1"/>
  <c r="P1539" i="2"/>
  <c r="Q1539" i="2" s="1"/>
  <c r="S1539" i="2" s="1"/>
  <c r="V1539" i="2" s="1"/>
  <c r="P1166" i="2"/>
  <c r="P1178" i="2"/>
  <c r="Q1178" i="2" s="1"/>
  <c r="S1178" i="2" s="1"/>
  <c r="P854" i="2"/>
  <c r="Q854" i="2" s="1"/>
  <c r="S854" i="2" s="1"/>
  <c r="P1184" i="2"/>
  <c r="Q1184" i="2" s="1"/>
  <c r="S1184" i="2" s="1"/>
  <c r="P1393" i="2"/>
  <c r="Q1393" i="2" s="1"/>
  <c r="S1393" i="2" s="1"/>
  <c r="P1561" i="2"/>
  <c r="Q1561" i="2" s="1"/>
  <c r="S1561" i="2" s="1"/>
  <c r="P1442" i="2"/>
  <c r="Q1442" i="2" s="1"/>
  <c r="S1442" i="2" s="1"/>
  <c r="V1442" i="2" s="1"/>
  <c r="P985" i="2"/>
  <c r="Q985" i="2" s="1"/>
  <c r="S985" i="2" s="1"/>
  <c r="P302" i="2"/>
  <c r="Q302" i="2" s="1"/>
  <c r="S302" i="2" s="1"/>
  <c r="P249" i="2"/>
  <c r="Q249" i="2" s="1"/>
  <c r="S249" i="2" s="1"/>
  <c r="P1270" i="2"/>
  <c r="P497" i="2"/>
  <c r="Q497" i="2" s="1"/>
  <c r="S497" i="2" s="1"/>
  <c r="P1271" i="2"/>
  <c r="Q1271" i="2" s="1"/>
  <c r="S1271" i="2" s="1"/>
  <c r="V1271" i="2" s="1"/>
  <c r="P978" i="2"/>
  <c r="Q978" i="2" s="1"/>
  <c r="S978" i="2" s="1"/>
  <c r="P910" i="2"/>
  <c r="Q910" i="2" s="1"/>
  <c r="S910" i="2" s="1"/>
  <c r="P1435" i="2"/>
  <c r="Q1435" i="2" s="1"/>
  <c r="S1435" i="2" s="1"/>
  <c r="P1287" i="2"/>
  <c r="Q1287" i="2" s="1"/>
  <c r="S1287" i="2" s="1"/>
  <c r="V1287" i="2" s="1"/>
  <c r="P1308" i="2"/>
  <c r="Q1308" i="2" s="1"/>
  <c r="S1308" i="2" s="1"/>
  <c r="V1308" i="2" s="1"/>
  <c r="P611" i="2"/>
  <c r="Q611" i="2" s="1"/>
  <c r="S611" i="2" s="1"/>
  <c r="P1142" i="2"/>
  <c r="P1447" i="2"/>
  <c r="P1359" i="2"/>
  <c r="Q1359" i="2" s="1"/>
  <c r="S1359" i="2" s="1"/>
  <c r="P960" i="2"/>
  <c r="Q960" i="2" s="1"/>
  <c r="S960" i="2" s="1"/>
  <c r="P1106" i="2"/>
  <c r="Q1106" i="2" s="1"/>
  <c r="S1106" i="2" s="1"/>
  <c r="P876" i="2"/>
  <c r="Q876" i="2" s="1"/>
  <c r="S876" i="2" s="1"/>
  <c r="P1136" i="2"/>
  <c r="Q1136" i="2" s="1"/>
  <c r="S1136" i="2" s="1"/>
  <c r="P877" i="2"/>
  <c r="Q877" i="2" s="1"/>
  <c r="S877" i="2" s="1"/>
  <c r="P1450" i="2"/>
  <c r="Q1450" i="2" s="1"/>
  <c r="S1450" i="2" s="1"/>
  <c r="V1450" i="2" s="1"/>
  <c r="P436" i="2"/>
  <c r="Q436" i="2" s="1"/>
  <c r="S436" i="2" s="1"/>
  <c r="P1492" i="2"/>
  <c r="Q1492" i="2" s="1"/>
  <c r="S1492" i="2" s="1"/>
  <c r="V1492" i="2" s="1"/>
  <c r="P1253" i="2"/>
  <c r="Q1253" i="2" s="1"/>
  <c r="S1253" i="2" s="1"/>
  <c r="P1369" i="2"/>
  <c r="Q1369" i="2" s="1"/>
  <c r="S1369" i="2" s="1"/>
  <c r="P728" i="2"/>
  <c r="Q728" i="2" s="1"/>
  <c r="S728" i="2" s="1"/>
  <c r="P584" i="2"/>
  <c r="Q584" i="2" s="1"/>
  <c r="S584" i="2" s="1"/>
  <c r="P380" i="2"/>
  <c r="Q380" i="2" s="1"/>
  <c r="S380" i="2" s="1"/>
  <c r="P749" i="2"/>
  <c r="Q749" i="2" s="1"/>
  <c r="S749" i="2" s="1"/>
  <c r="P1530" i="2"/>
  <c r="Q1530" i="2" s="1"/>
  <c r="S1530" i="2" s="1"/>
  <c r="V1530" i="2" s="1"/>
  <c r="P1356" i="2"/>
  <c r="P1538" i="2"/>
  <c r="Q1538" i="2" s="1"/>
  <c r="S1538" i="2" s="1"/>
  <c r="V1538" i="2" s="1"/>
  <c r="P328" i="2"/>
  <c r="Q328" i="2" s="1"/>
  <c r="S328" i="2" s="1"/>
  <c r="P355" i="2"/>
  <c r="Q355" i="2" s="1"/>
  <c r="S355" i="2" s="1"/>
  <c r="P1286" i="2"/>
  <c r="Q1286" i="2" s="1"/>
  <c r="S1286" i="2" s="1"/>
  <c r="V1286" i="2" s="1"/>
  <c r="P679" i="2"/>
  <c r="Q679" i="2" s="1"/>
  <c r="S679" i="2" s="1"/>
  <c r="P1413" i="2"/>
  <c r="P724" i="2"/>
  <c r="Q724" i="2" s="1"/>
  <c r="S724" i="2" s="1"/>
  <c r="P923" i="2"/>
  <c r="Q923" i="2" s="1"/>
  <c r="S923" i="2" s="1"/>
  <c r="P1016" i="2"/>
  <c r="Q1016" i="2" s="1"/>
  <c r="S1016" i="2" s="1"/>
  <c r="P977" i="2"/>
  <c r="Q977" i="2" s="1"/>
  <c r="S977" i="2" s="1"/>
  <c r="P1436" i="2"/>
  <c r="Q1436" i="2" s="1"/>
  <c r="S1436" i="2" s="1"/>
  <c r="V1436" i="2" s="1"/>
  <c r="P701" i="2"/>
  <c r="Q701" i="2" s="1"/>
  <c r="S701" i="2" s="1"/>
  <c r="P251" i="2"/>
  <c r="Q251" i="2" s="1"/>
  <c r="S251" i="2" s="1"/>
  <c r="P1524" i="2"/>
  <c r="P530" i="2"/>
  <c r="P1180" i="2"/>
  <c r="P959" i="2"/>
  <c r="Q959" i="2" s="1"/>
  <c r="S959" i="2" s="1"/>
  <c r="P373" i="2"/>
  <c r="P1133" i="2"/>
  <c r="Q1133" i="2" s="1"/>
  <c r="S1133" i="2" s="1"/>
  <c r="P1462" i="2"/>
  <c r="Q1462" i="2" s="1"/>
  <c r="S1462" i="2" s="1"/>
  <c r="P834" i="2"/>
  <c r="Q834" i="2" s="1"/>
  <c r="S834" i="2" s="1"/>
  <c r="P919" i="2"/>
  <c r="P517" i="2"/>
  <c r="P1402" i="2"/>
  <c r="Q1402" i="2" s="1"/>
  <c r="S1402" i="2" s="1"/>
  <c r="P1117" i="2"/>
  <c r="P1019" i="2"/>
  <c r="Q1019" i="2" s="1"/>
  <c r="S1019" i="2" s="1"/>
  <c r="P254" i="2"/>
  <c r="P298" i="2"/>
  <c r="P1378" i="2"/>
  <c r="Q1378" i="2" s="1"/>
  <c r="S1378" i="2" s="1"/>
  <c r="P775" i="2"/>
  <c r="Q775" i="2" s="1"/>
  <c r="S775" i="2" s="1"/>
  <c r="P1508" i="2"/>
  <c r="Q1508" i="2" s="1"/>
  <c r="S1508" i="2" s="1"/>
  <c r="V1508" i="2" s="1"/>
  <c r="P1103" i="2"/>
  <c r="P612" i="2"/>
  <c r="Q612" i="2" s="1"/>
  <c r="S612" i="2" s="1"/>
  <c r="P1453" i="2"/>
  <c r="Q1453" i="2" s="1"/>
  <c r="S1453" i="2" s="1"/>
  <c r="P776" i="2"/>
  <c r="P351" i="2"/>
  <c r="Q351" i="2" s="1"/>
  <c r="S351" i="2" s="1"/>
  <c r="P1147" i="2"/>
  <c r="P1015" i="2"/>
  <c r="Q1015" i="2" s="1"/>
  <c r="S1015" i="2" s="1"/>
  <c r="P358" i="2"/>
  <c r="Q358" i="2" s="1"/>
  <c r="S358" i="2" s="1"/>
  <c r="P654" i="2"/>
  <c r="Q654" i="2" s="1"/>
  <c r="S654" i="2" s="1"/>
  <c r="P563" i="2"/>
  <c r="Q563" i="2" s="1"/>
  <c r="S563" i="2" s="1"/>
  <c r="P489" i="2"/>
  <c r="P738" i="2"/>
  <c r="P1468" i="2"/>
  <c r="Q1468" i="2" s="1"/>
  <c r="S1468" i="2" s="1"/>
  <c r="P599" i="2"/>
  <c r="Q599" i="2" s="1"/>
  <c r="S599" i="2" s="1"/>
  <c r="P1328" i="2"/>
  <c r="P1137" i="2"/>
  <c r="Q1137" i="2" s="1"/>
  <c r="S1137" i="2" s="1"/>
  <c r="P958" i="2"/>
  <c r="Q958" i="2" s="1"/>
  <c r="S958" i="2" s="1"/>
  <c r="P797" i="2"/>
  <c r="Q797" i="2" s="1"/>
  <c r="S797" i="2" s="1"/>
  <c r="P589" i="2"/>
  <c r="Q589" i="2" s="1"/>
  <c r="S589" i="2" s="1"/>
  <c r="P329" i="2"/>
  <c r="Q329" i="2" s="1"/>
  <c r="S329" i="2" s="1"/>
  <c r="P1150" i="2"/>
  <c r="Q1150" i="2" s="1"/>
  <c r="S1150" i="2" s="1"/>
  <c r="P444" i="2"/>
  <c r="P1126" i="2"/>
  <c r="Q1126" i="2" s="1"/>
  <c r="S1126" i="2" s="1"/>
  <c r="P992" i="2"/>
  <c r="Q992" i="2" s="1"/>
  <c r="S992" i="2" s="1"/>
  <c r="P909" i="2"/>
  <c r="Q909" i="2" s="1"/>
  <c r="S909" i="2" s="1"/>
  <c r="P972" i="2"/>
  <c r="Q972" i="2" s="1"/>
  <c r="S972" i="2" s="1"/>
  <c r="P1099" i="2"/>
  <c r="Q1099" i="2" s="1"/>
  <c r="S1099" i="2" s="1"/>
  <c r="P495" i="2"/>
  <c r="P812" i="2"/>
  <c r="Q812" i="2" s="1"/>
  <c r="S812" i="2" s="1"/>
  <c r="P1127" i="2"/>
  <c r="Q1127" i="2" s="1"/>
  <c r="S1127" i="2" s="1"/>
  <c r="P248" i="2"/>
  <c r="Q248" i="2" s="1"/>
  <c r="S248" i="2" s="1"/>
  <c r="P1507" i="2"/>
  <c r="P401" i="2"/>
  <c r="P284" i="2"/>
  <c r="Q284" i="2" s="1"/>
  <c r="S284" i="2" s="1"/>
  <c r="P588" i="2"/>
  <c r="Q588" i="2" s="1"/>
  <c r="S588" i="2" s="1"/>
  <c r="P418" i="2"/>
  <c r="Q418" i="2" s="1"/>
  <c r="S418" i="2" s="1"/>
  <c r="P1012" i="2"/>
  <c r="Q1012" i="2" s="1"/>
  <c r="S1012" i="2" s="1"/>
  <c r="P761" i="2"/>
  <c r="Q761" i="2" s="1"/>
  <c r="S761" i="2" s="1"/>
  <c r="P808" i="2"/>
  <c r="Q808" i="2" s="1"/>
  <c r="S808" i="2" s="1"/>
  <c r="P570" i="2"/>
  <c r="Q570" i="2" s="1"/>
  <c r="S570" i="2" s="1"/>
  <c r="P1067" i="2"/>
  <c r="Q1067" i="2" s="1"/>
  <c r="S1067" i="2" s="1"/>
  <c r="P469" i="2"/>
  <c r="Q469" i="2" s="1"/>
  <c r="S469" i="2" s="1"/>
  <c r="P1162" i="2"/>
  <c r="P990" i="2"/>
  <c r="Q990" i="2" s="1"/>
  <c r="S990" i="2" s="1"/>
  <c r="P560" i="2"/>
  <c r="P628" i="2"/>
  <c r="Q628" i="2" s="1"/>
  <c r="S628" i="2" s="1"/>
  <c r="P385" i="2"/>
  <c r="Q385" i="2" s="1"/>
  <c r="S385" i="2" s="1"/>
  <c r="P748" i="2"/>
  <c r="Q748" i="2" s="1"/>
  <c r="S748" i="2" s="1"/>
  <c r="P381" i="2"/>
  <c r="Q381" i="2" s="1"/>
  <c r="S381" i="2" s="1"/>
  <c r="P1437" i="2"/>
  <c r="Q1437" i="2" s="1"/>
  <c r="S1437" i="2" s="1"/>
  <c r="V1437" i="2" s="1"/>
  <c r="P1239" i="2"/>
  <c r="Q1239" i="2" s="1"/>
  <c r="S1239" i="2" s="1"/>
  <c r="V1239" i="2" s="1"/>
  <c r="P1120" i="2"/>
  <c r="P1174" i="2"/>
  <c r="Q1174" i="2" s="1"/>
  <c r="S1174" i="2" s="1"/>
  <c r="P1522" i="2"/>
  <c r="P471" i="2"/>
  <c r="Q471" i="2" s="1"/>
  <c r="S471" i="2" s="1"/>
  <c r="P773" i="2"/>
  <c r="Q773" i="2" s="1"/>
  <c r="S773" i="2" s="1"/>
  <c r="P1337" i="2"/>
  <c r="Q1337" i="2" s="1"/>
  <c r="S1337" i="2" s="1"/>
  <c r="P974" i="2"/>
  <c r="Q974" i="2" s="1"/>
  <c r="S974" i="2" s="1"/>
  <c r="P261" i="2"/>
  <c r="P634" i="2"/>
  <c r="P1344" i="2"/>
  <c r="Q1344" i="2" s="1"/>
  <c r="S1344" i="2" s="1"/>
  <c r="P1391" i="2"/>
  <c r="Q1391" i="2" s="1"/>
  <c r="S1391" i="2" s="1"/>
  <c r="P1210" i="2"/>
  <c r="Q1210" i="2" s="1"/>
  <c r="S1210" i="2" s="1"/>
  <c r="V1210" i="2" s="1"/>
  <c r="P855" i="2"/>
  <c r="P263" i="2"/>
  <c r="Q263" i="2" s="1"/>
  <c r="S263" i="2" s="1"/>
  <c r="P1159" i="2"/>
  <c r="Q1159" i="2" s="1"/>
  <c r="S1159" i="2" s="1"/>
  <c r="P1536" i="2"/>
  <c r="Q1536" i="2" s="1"/>
  <c r="S1536" i="2" s="1"/>
  <c r="V1536" i="2" s="1"/>
  <c r="P950" i="2"/>
  <c r="Q950" i="2" s="1"/>
  <c r="S950" i="2" s="1"/>
  <c r="P1238" i="2"/>
  <c r="P944" i="2"/>
  <c r="Q944" i="2" s="1"/>
  <c r="S944" i="2" s="1"/>
  <c r="P838" i="2"/>
  <c r="Q838" i="2" s="1"/>
  <c r="S838" i="2" s="1"/>
  <c r="P1194" i="2"/>
  <c r="Q1194" i="2" s="1"/>
  <c r="S1194" i="2" s="1"/>
  <c r="P409" i="2"/>
  <c r="Q409" i="2" s="1"/>
  <c r="S409" i="2" s="1"/>
  <c r="P1392" i="2"/>
  <c r="Q1392" i="2" s="1"/>
  <c r="S1392" i="2" s="1"/>
  <c r="P705" i="2"/>
  <c r="P1511" i="2"/>
  <c r="Q1511" i="2" s="1"/>
  <c r="S1511" i="2" s="1"/>
  <c r="V1511" i="2" s="1"/>
  <c r="P1258" i="2"/>
  <c r="Q1258" i="2" s="1"/>
  <c r="S1258" i="2" s="1"/>
  <c r="V1258" i="2" s="1"/>
  <c r="P363" i="2"/>
  <c r="P1380" i="2"/>
  <c r="Q1380" i="2" s="1"/>
  <c r="S1380" i="2" s="1"/>
  <c r="P1179" i="2"/>
  <c r="Q1179" i="2" s="1"/>
  <c r="S1179" i="2" s="1"/>
  <c r="P771" i="2"/>
  <c r="Q771" i="2" s="1"/>
  <c r="S771" i="2" s="1"/>
  <c r="P386" i="2"/>
  <c r="Q386" i="2" s="1"/>
  <c r="S386" i="2" s="1"/>
  <c r="P818" i="2"/>
  <c r="Q818" i="2" s="1"/>
  <c r="S818" i="2" s="1"/>
  <c r="P879" i="2"/>
  <c r="Q879" i="2" s="1"/>
  <c r="S879" i="2" s="1"/>
  <c r="P1491" i="2"/>
  <c r="Q1491" i="2" s="1"/>
  <c r="S1491" i="2" s="1"/>
  <c r="V1491" i="2" s="1"/>
  <c r="P1068" i="2"/>
  <c r="Q1068" i="2" s="1"/>
  <c r="S1068" i="2" s="1"/>
  <c r="P1135" i="2"/>
  <c r="Q1135" i="2" s="1"/>
  <c r="S1135" i="2" s="1"/>
  <c r="P268" i="2"/>
  <c r="Q268" i="2" s="1"/>
  <c r="S268" i="2" s="1"/>
  <c r="P1163" i="2"/>
  <c r="Q1163" i="2" s="1"/>
  <c r="S1163" i="2" s="1"/>
  <c r="P467" i="2"/>
  <c r="Q467" i="2" s="1"/>
  <c r="S467" i="2" s="1"/>
  <c r="P1193" i="2"/>
  <c r="Q1193" i="2" s="1"/>
  <c r="S1193" i="2" s="1"/>
  <c r="P720" i="2"/>
  <c r="P255" i="2"/>
  <c r="Q255" i="2" s="1"/>
  <c r="S255" i="2" s="1"/>
  <c r="P676" i="2"/>
  <c r="Q676" i="2" s="1"/>
  <c r="S676" i="2" s="1"/>
  <c r="P1055" i="2"/>
  <c r="Q1055" i="2" s="1"/>
  <c r="S1055" i="2" s="1"/>
  <c r="P590" i="2"/>
  <c r="Q590" i="2" s="1"/>
  <c r="S590" i="2" s="1"/>
  <c r="P586" i="2"/>
  <c r="Q586" i="2" s="1"/>
  <c r="S586" i="2" s="1"/>
  <c r="P561" i="2"/>
  <c r="Q561" i="2" s="1"/>
  <c r="S561" i="2" s="1"/>
  <c r="P1034" i="2"/>
  <c r="Q1034" i="2" s="1"/>
  <c r="S1034" i="2" s="1"/>
  <c r="P503" i="2"/>
  <c r="Q503" i="2" s="1"/>
  <c r="S503" i="2" s="1"/>
  <c r="P265" i="2"/>
  <c r="Q265" i="2" s="1"/>
  <c r="S265" i="2" s="1"/>
  <c r="P291" i="2"/>
  <c r="Q291" i="2" s="1"/>
  <c r="S291" i="2" s="1"/>
  <c r="P1107" i="2"/>
  <c r="Q1107" i="2" s="1"/>
  <c r="S1107" i="2" s="1"/>
  <c r="P565" i="2"/>
  <c r="Q565" i="2" s="1"/>
  <c r="S565" i="2" s="1"/>
  <c r="P1414" i="2"/>
  <c r="Q1414" i="2" s="1"/>
  <c r="S1414" i="2" s="1"/>
  <c r="P961" i="2"/>
  <c r="Q961" i="2" s="1"/>
  <c r="S961" i="2" s="1"/>
  <c r="P1104" i="2"/>
  <c r="Q1104" i="2" s="1"/>
  <c r="S1104" i="2" s="1"/>
  <c r="P618" i="2"/>
  <c r="P442" i="2"/>
  <c r="Q442" i="2" s="1"/>
  <c r="S442" i="2" s="1"/>
  <c r="P464" i="2"/>
  <c r="Q464" i="2" s="1"/>
  <c r="S464" i="2" s="1"/>
  <c r="P1105" i="2"/>
  <c r="Q1105" i="2" s="1"/>
  <c r="S1105" i="2" s="1"/>
  <c r="P460" i="2"/>
  <c r="Q460" i="2" s="1"/>
  <c r="S460" i="2" s="1"/>
  <c r="P770" i="2"/>
  <c r="Q770" i="2" s="1"/>
  <c r="S770" i="2" s="1"/>
  <c r="P299" i="2"/>
  <c r="P1128" i="2"/>
  <c r="Q1128" i="2" s="1"/>
  <c r="S1128" i="2" s="1"/>
  <c r="P372" i="2"/>
  <c r="Q372" i="2" s="1"/>
  <c r="S372" i="2" s="1"/>
  <c r="P267" i="2"/>
  <c r="Q267" i="2" s="1"/>
  <c r="S267" i="2" s="1"/>
  <c r="P388" i="2"/>
  <c r="Q388" i="2" s="1"/>
  <c r="S388" i="2" s="1"/>
  <c r="P1565" i="2"/>
  <c r="P1346" i="2"/>
  <c r="Q1346" i="2" s="1"/>
  <c r="S1346" i="2" s="1"/>
  <c r="P1018" i="2"/>
  <c r="Q1018" i="2" s="1"/>
  <c r="S1018" i="2" s="1"/>
  <c r="P520" i="2"/>
  <c r="Q520" i="2" s="1"/>
  <c r="S520" i="2" s="1"/>
  <c r="P1110" i="2"/>
  <c r="P953" i="2"/>
  <c r="Q953" i="2" s="1"/>
  <c r="S953" i="2" s="1"/>
  <c r="P678" i="2"/>
  <c r="Q678" i="2" s="1"/>
  <c r="S678" i="2" s="1"/>
  <c r="P817" i="2"/>
  <c r="Q817" i="2" s="1"/>
  <c r="S817" i="2" s="1"/>
  <c r="P619" i="2"/>
  <c r="Q619" i="2" s="1"/>
  <c r="S619" i="2" s="1"/>
  <c r="P513" i="2"/>
  <c r="Q513" i="2" s="1"/>
  <c r="S513" i="2" s="1"/>
  <c r="P1111" i="2"/>
  <c r="Q1111" i="2" s="1"/>
  <c r="S1111" i="2" s="1"/>
  <c r="P1440" i="2"/>
  <c r="Q1440" i="2" s="1"/>
  <c r="S1440" i="2" s="1"/>
  <c r="P533" i="2"/>
  <c r="P736" i="2"/>
  <c r="Q736" i="2" s="1"/>
  <c r="S736" i="2" s="1"/>
  <c r="P511" i="2"/>
  <c r="P1446" i="2"/>
  <c r="Q1446" i="2" s="1"/>
  <c r="S1446" i="2" s="1"/>
  <c r="V1446" i="2" s="1"/>
  <c r="P1188" i="2"/>
  <c r="P1098" i="2"/>
  <c r="Q1098" i="2" s="1"/>
  <c r="S1098" i="2" s="1"/>
  <c r="P661" i="2"/>
  <c r="Q661" i="2" s="1"/>
  <c r="S661" i="2" s="1"/>
  <c r="P779" i="2"/>
  <c r="P651" i="2"/>
  <c r="P1064" i="2"/>
  <c r="Q1064" i="2" s="1"/>
  <c r="S1064" i="2" s="1"/>
  <c r="P692" i="2"/>
  <c r="Q692" i="2" s="1"/>
  <c r="S692" i="2" s="1"/>
  <c r="P806" i="2"/>
  <c r="Q806" i="2" s="1"/>
  <c r="S806" i="2" s="1"/>
  <c r="P635" i="2"/>
  <c r="Q635" i="2" s="1"/>
  <c r="S635" i="2" s="1"/>
  <c r="P545" i="2"/>
  <c r="P895" i="2"/>
  <c r="P521" i="2"/>
  <c r="Q521" i="2" s="1"/>
  <c r="S521" i="2" s="1"/>
  <c r="P1171" i="2"/>
  <c r="Q1171" i="2" s="1"/>
  <c r="S1171" i="2" s="1"/>
  <c r="P410" i="2"/>
  <c r="P1240" i="2"/>
  <c r="Q1240" i="2" s="1"/>
  <c r="S1240" i="2" s="1"/>
  <c r="V1240" i="2" s="1"/>
  <c r="P555" i="2"/>
  <c r="Q555" i="2" s="1"/>
  <c r="S555" i="2" s="1"/>
  <c r="P981" i="2"/>
  <c r="Q981" i="2" s="1"/>
  <c r="S981" i="2" s="1"/>
  <c r="P1123" i="2"/>
  <c r="Q1123" i="2" s="1"/>
  <c r="S1123" i="2" s="1"/>
  <c r="P1499" i="2"/>
  <c r="Q1499" i="2" s="1"/>
  <c r="S1499" i="2" s="1"/>
  <c r="V1499" i="2" s="1"/>
  <c r="P1284" i="2"/>
  <c r="Q1284" i="2" s="1"/>
  <c r="S1284" i="2" s="1"/>
  <c r="V1284" i="2" s="1"/>
  <c r="P1467" i="2"/>
  <c r="Q1467" i="2" s="1"/>
  <c r="S1467" i="2" s="1"/>
  <c r="P880" i="2"/>
  <c r="Q880" i="2" s="1"/>
  <c r="S880" i="2" s="1"/>
  <c r="P1231" i="2"/>
  <c r="Q1231" i="2" s="1"/>
  <c r="S1231" i="2" s="1"/>
  <c r="P383" i="2"/>
  <c r="Q383" i="2" s="1"/>
  <c r="S383" i="2" s="1"/>
  <c r="P1038" i="2"/>
  <c r="P1254" i="2"/>
  <c r="Q1254" i="2" s="1"/>
  <c r="S1254" i="2" s="1"/>
  <c r="P670" i="2"/>
  <c r="Q670" i="2" s="1"/>
  <c r="S670" i="2" s="1"/>
  <c r="P454" i="2"/>
  <c r="Q454" i="2" s="1"/>
  <c r="S454" i="2" s="1"/>
  <c r="P787" i="2"/>
  <c r="Q787" i="2" s="1"/>
  <c r="S787" i="2" s="1"/>
  <c r="P1165" i="2"/>
  <c r="P598" i="2"/>
  <c r="Q598" i="2" s="1"/>
  <c r="S598" i="2" s="1"/>
  <c r="P1148" i="2"/>
  <c r="P737" i="2"/>
  <c r="Q737" i="2" s="1"/>
  <c r="S737" i="2" s="1"/>
  <c r="P1252" i="2"/>
  <c r="Q1252" i="2" s="1"/>
  <c r="S1252" i="2" s="1"/>
  <c r="P512" i="2"/>
  <c r="Q512" i="2" s="1"/>
  <c r="S512" i="2" s="1"/>
  <c r="P419" i="2"/>
  <c r="Q419" i="2" s="1"/>
  <c r="S419" i="2" s="1"/>
  <c r="P756" i="2"/>
  <c r="Q756" i="2" s="1"/>
  <c r="S756" i="2" s="1"/>
  <c r="P463" i="2"/>
  <c r="P690" i="2"/>
  <c r="Q690" i="2" s="1"/>
  <c r="S690" i="2" s="1"/>
  <c r="P308" i="2"/>
  <c r="Q308" i="2" s="1"/>
  <c r="S308" i="2" s="1"/>
  <c r="P837" i="2"/>
  <c r="Q837" i="2" s="1"/>
  <c r="S837" i="2" s="1"/>
  <c r="P621" i="2"/>
  <c r="Q621" i="2" s="1"/>
  <c r="S621" i="2" s="1"/>
  <c r="P1269" i="2"/>
  <c r="Q1269" i="2" s="1"/>
  <c r="S1269" i="2" s="1"/>
  <c r="V1269" i="2" s="1"/>
  <c r="P1384" i="2"/>
  <c r="Q1384" i="2" s="1"/>
  <c r="S1384" i="2" s="1"/>
  <c r="P662" i="2"/>
  <c r="Q662" i="2" s="1"/>
  <c r="S662" i="2" s="1"/>
  <c r="P604" i="2"/>
  <c r="Q604" i="2" s="1"/>
  <c r="S604" i="2" s="1"/>
  <c r="P1432" i="2"/>
  <c r="Q1432" i="2" s="1"/>
  <c r="S1432" i="2" s="1"/>
  <c r="P1260" i="2"/>
  <c r="Q1260" i="2" s="1"/>
  <c r="S1260" i="2" s="1"/>
  <c r="V1260" i="2" s="1"/>
  <c r="P318" i="2"/>
  <c r="Q318" i="2" s="1"/>
  <c r="S318" i="2" s="1"/>
  <c r="P1154" i="2"/>
  <c r="Q1154" i="2" s="1"/>
  <c r="S1154" i="2" s="1"/>
  <c r="P382" i="2"/>
  <c r="Q382" i="2" s="1"/>
  <c r="S382" i="2" s="1"/>
  <c r="P729" i="2"/>
  <c r="P387" i="2"/>
  <c r="P1009" i="2"/>
  <c r="Q1009" i="2" s="1"/>
  <c r="S1009" i="2" s="1"/>
  <c r="P1528" i="2"/>
  <c r="Q1528" i="2" s="1"/>
  <c r="S1528" i="2" s="1"/>
  <c r="V1528" i="2" s="1"/>
  <c r="P1439" i="2"/>
  <c r="Q1439" i="2" s="1"/>
  <c r="S1439" i="2" s="1"/>
  <c r="P434" i="2"/>
  <c r="Q434" i="2" s="1"/>
  <c r="S434" i="2" s="1"/>
  <c r="P858" i="2"/>
  <c r="Q858" i="2" s="1"/>
  <c r="S858" i="2" s="1"/>
  <c r="P438" i="2"/>
  <c r="Q438" i="2" s="1"/>
  <c r="S438" i="2" s="1"/>
  <c r="P658" i="2"/>
  <c r="Q658" i="2" s="1"/>
  <c r="S658" i="2" s="1"/>
  <c r="P311" i="2"/>
  <c r="Q311" i="2" s="1"/>
  <c r="S311" i="2" s="1"/>
  <c r="P1555" i="2"/>
  <c r="Q1555" i="2" s="1"/>
  <c r="S1555" i="2" s="1"/>
  <c r="V1555" i="2" s="1"/>
  <c r="P243" i="2"/>
  <c r="P1047" i="2"/>
  <c r="Q1047" i="2" s="1"/>
  <c r="S1047" i="2" s="1"/>
  <c r="P1451" i="2"/>
  <c r="Q1451" i="2" s="1"/>
  <c r="S1451" i="2" s="1"/>
  <c r="V1451" i="2" s="1"/>
  <c r="P1513" i="2"/>
  <c r="P364" i="2"/>
  <c r="Q364" i="2" s="1"/>
  <c r="S364" i="2" s="1"/>
  <c r="P1190" i="2"/>
  <c r="P949" i="2"/>
  <c r="Q949" i="2" s="1"/>
  <c r="S949" i="2" s="1"/>
  <c r="P1057" i="2"/>
  <c r="Q1057" i="2" s="1"/>
  <c r="S1057" i="2" s="1"/>
  <c r="P449" i="2"/>
  <c r="Q449" i="2" s="1"/>
  <c r="S449" i="2" s="1"/>
  <c r="P289" i="2"/>
  <c r="Q289" i="2" s="1"/>
  <c r="S289" i="2" s="1"/>
  <c r="P1398" i="2"/>
  <c r="Q1398" i="2" s="1"/>
  <c r="S1398" i="2" s="1"/>
  <c r="P450" i="2"/>
  <c r="Q450" i="2" s="1"/>
  <c r="S450" i="2" s="1"/>
  <c r="P1228" i="2"/>
  <c r="Q1228" i="2" s="1"/>
  <c r="S1228" i="2" s="1"/>
  <c r="V1228" i="2" s="1"/>
  <c r="P375" i="2"/>
  <c r="P452" i="2"/>
  <c r="Q452" i="2" s="1"/>
  <c r="S452" i="2" s="1"/>
  <c r="P1164" i="2"/>
  <c r="Q1164" i="2" s="1"/>
  <c r="S1164" i="2" s="1"/>
  <c r="P505" i="2"/>
  <c r="Q505" i="2" s="1"/>
  <c r="S505" i="2" s="1"/>
  <c r="P568" i="2"/>
  <c r="P1461" i="2"/>
  <c r="P1183" i="2"/>
  <c r="Q1183" i="2" s="1"/>
  <c r="S1183" i="2" s="1"/>
  <c r="P889" i="2"/>
  <c r="Q889" i="2" s="1"/>
  <c r="S889" i="2" s="1"/>
  <c r="P1542" i="2"/>
  <c r="Q1542" i="2" s="1"/>
  <c r="S1542" i="2" s="1"/>
  <c r="V1542" i="2" s="1"/>
  <c r="P925" i="2"/>
  <c r="P757" i="2"/>
  <c r="P1304" i="2"/>
  <c r="Q1304" i="2" s="1"/>
  <c r="S1304" i="2" s="1"/>
  <c r="V1304" i="2" s="1"/>
  <c r="P1554" i="2"/>
  <c r="Q1554" i="2" s="1"/>
  <c r="S1554" i="2" s="1"/>
  <c r="V1554" i="2" s="1"/>
  <c r="P1375" i="2"/>
  <c r="Q1375" i="2" s="1"/>
  <c r="S1375" i="2" s="1"/>
  <c r="P1226" i="2"/>
  <c r="Q1226" i="2" s="1"/>
  <c r="S1226" i="2" s="1"/>
  <c r="V1226" i="2" s="1"/>
  <c r="P706" i="2"/>
  <c r="Q706" i="2" s="1"/>
  <c r="S706" i="2" s="1"/>
  <c r="P1101" i="2"/>
  <c r="Q1101" i="2" s="1"/>
  <c r="S1101" i="2" s="1"/>
  <c r="P1036" i="2"/>
  <c r="P1431" i="2"/>
  <c r="Q1431" i="2" s="1"/>
  <c r="S1431" i="2" s="1"/>
  <c r="P642" i="2"/>
  <c r="Q642" i="2" s="1"/>
  <c r="S642" i="2" s="1"/>
  <c r="P805" i="2"/>
  <c r="Q805" i="2" s="1"/>
  <c r="S805" i="2" s="1"/>
  <c r="P675" i="2"/>
  <c r="Q675" i="2" s="1"/>
  <c r="S675" i="2" s="1"/>
  <c r="P439" i="2"/>
  <c r="Q439" i="2" s="1"/>
  <c r="S439" i="2" s="1"/>
  <c r="P1161" i="2"/>
  <c r="Q1161" i="2" s="1"/>
  <c r="S1161" i="2" s="1"/>
  <c r="P824" i="2"/>
  <c r="P913" i="2"/>
  <c r="Q913" i="2" s="1"/>
  <c r="S913" i="2" s="1"/>
  <c r="P1306" i="2"/>
  <c r="Q1306" i="2" s="1"/>
  <c r="S1306" i="2" s="1"/>
  <c r="P752" i="2"/>
  <c r="Q752" i="2" s="1"/>
  <c r="S752" i="2" s="1"/>
  <c r="P980" i="2"/>
  <c r="Q980" i="2" s="1"/>
  <c r="S980" i="2" s="1"/>
  <c r="P546" i="2"/>
  <c r="P542" i="2"/>
  <c r="Q542" i="2" s="1"/>
  <c r="S542" i="2" s="1"/>
  <c r="P374" i="2"/>
  <c r="Q374" i="2" s="1"/>
  <c r="S374" i="2" s="1"/>
  <c r="P1169" i="2"/>
  <c r="Q1169" i="2" s="1"/>
  <c r="S1169" i="2" s="1"/>
  <c r="P723" i="2"/>
  <c r="Q723" i="2" s="1"/>
  <c r="S723" i="2" s="1"/>
  <c r="P660" i="2"/>
  <c r="Q660" i="2" s="1"/>
  <c r="S660" i="2" s="1"/>
  <c r="P622" i="2"/>
  <c r="P1290" i="2"/>
  <c r="Q1290" i="2" s="1"/>
  <c r="S1290" i="2" s="1"/>
  <c r="V1290" i="2" s="1"/>
  <c r="P1368" i="2"/>
  <c r="Q1368" i="2" s="1"/>
  <c r="S1368" i="2" s="1"/>
  <c r="P518" i="2"/>
  <c r="Q518" i="2" s="1"/>
  <c r="S518" i="2" s="1"/>
  <c r="P1509" i="2"/>
  <c r="Q1509" i="2" s="1"/>
  <c r="S1509" i="2" s="1"/>
  <c r="V1509" i="2" s="1"/>
  <c r="P852" i="2"/>
  <c r="P1112" i="2"/>
  <c r="Q1112" i="2" s="1"/>
  <c r="S1112" i="2" s="1"/>
  <c r="P627" i="2"/>
  <c r="Q627" i="2" s="1"/>
  <c r="S627" i="2" s="1"/>
  <c r="P631" i="2"/>
  <c r="P1430" i="2"/>
  <c r="Q1430" i="2" s="1"/>
  <c r="S1430" i="2" s="1"/>
  <c r="P1418" i="2"/>
  <c r="P911" i="2"/>
  <c r="Q911" i="2" s="1"/>
  <c r="S911" i="2" s="1"/>
  <c r="P995" i="2"/>
  <c r="Q995" i="2" s="1"/>
  <c r="S995" i="2" s="1"/>
  <c r="P253" i="2"/>
  <c r="Q253" i="2" s="1"/>
  <c r="S253" i="2" s="1"/>
  <c r="P971" i="2"/>
  <c r="Q971" i="2" s="1"/>
  <c r="S971" i="2" s="1"/>
  <c r="P695" i="2"/>
  <c r="Q695" i="2" s="1"/>
  <c r="S695" i="2" s="1"/>
  <c r="P1381" i="2"/>
  <c r="Q1381" i="2" s="1"/>
  <c r="S1381" i="2" s="1"/>
  <c r="P420" i="2"/>
  <c r="Q420" i="2" s="1"/>
  <c r="S420" i="2" s="1"/>
  <c r="P366" i="2"/>
  <c r="Q366" i="2" s="1"/>
  <c r="S366" i="2" s="1"/>
  <c r="P952" i="2"/>
  <c r="Q952" i="2" s="1"/>
  <c r="S952" i="2" s="1"/>
  <c r="P1428" i="2"/>
  <c r="Q1428" i="2" s="1"/>
  <c r="S1428" i="2" s="1"/>
  <c r="V1428" i="2" s="1"/>
  <c r="P376" i="2"/>
  <c r="Q376" i="2" s="1"/>
  <c r="S376" i="2" s="1"/>
  <c r="P722" i="2"/>
  <c r="Q722" i="2" s="1"/>
  <c r="S722" i="2" s="1"/>
  <c r="P596" i="2"/>
  <c r="P1181" i="2"/>
  <c r="Q1181" i="2" s="1"/>
  <c r="S1181" i="2" s="1"/>
  <c r="P1175" i="2"/>
  <c r="Q1175" i="2" s="1"/>
  <c r="S1175" i="2" s="1"/>
  <c r="P831" i="2"/>
  <c r="Q831" i="2" s="1"/>
  <c r="S831" i="2" s="1"/>
  <c r="P396" i="2"/>
  <c r="Q396" i="2" s="1"/>
  <c r="S396" i="2" s="1"/>
  <c r="P871" i="2"/>
  <c r="Q871" i="2" s="1"/>
  <c r="P406" i="2"/>
  <c r="Q406" i="2" s="1"/>
  <c r="S406" i="2" s="1"/>
  <c r="P1054" i="2"/>
  <c r="P506" i="2"/>
  <c r="Q506" i="2" s="1"/>
  <c r="S506" i="2" s="1"/>
  <c r="P1065" i="2"/>
  <c r="Q1065" i="2" s="1"/>
  <c r="S1065" i="2" s="1"/>
  <c r="P1500" i="2"/>
  <c r="Q1500" i="2" s="1"/>
  <c r="S1500" i="2" s="1"/>
  <c r="V1500" i="2" s="1"/>
  <c r="P269" i="2"/>
  <c r="Q269" i="2" s="1"/>
  <c r="S269" i="2" s="1"/>
  <c r="P766" i="2"/>
  <c r="Q766" i="2" s="1"/>
  <c r="S766" i="2" s="1"/>
  <c r="P633" i="2"/>
  <c r="Q633" i="2" s="1"/>
  <c r="S633" i="2" s="1"/>
  <c r="P667" i="2"/>
  <c r="Q667" i="2" s="1"/>
  <c r="S667" i="2" s="1"/>
  <c r="P896" i="2"/>
  <c r="Q896" i="2" s="1"/>
  <c r="S896" i="2" s="1"/>
  <c r="P637" i="2"/>
  <c r="Q637" i="2" s="1"/>
  <c r="S637" i="2" s="1"/>
  <c r="P1559" i="2"/>
  <c r="Q1559" i="2" s="1"/>
  <c r="S1559" i="2" s="1"/>
  <c r="P266" i="2"/>
  <c r="P524" i="2"/>
  <c r="P703" i="2"/>
  <c r="P1362" i="2"/>
  <c r="P1374" i="2"/>
  <c r="Q1374" i="2" s="1"/>
  <c r="S1374" i="2" s="1"/>
  <c r="P963" i="2"/>
  <c r="Q963" i="2" s="1"/>
  <c r="S963" i="2" s="1"/>
  <c r="P417" i="2"/>
  <c r="Q417" i="2" s="1"/>
  <c r="S417" i="2" s="1"/>
  <c r="P1293" i="2"/>
  <c r="Q1293" i="2" s="1"/>
  <c r="S1293" i="2" s="1"/>
  <c r="V1293" i="2" s="1"/>
  <c r="P379" i="2"/>
  <c r="Q379" i="2" s="1"/>
  <c r="S379" i="2" s="1"/>
  <c r="P976" i="2"/>
  <c r="Q976" i="2" s="1"/>
  <c r="S976" i="2" s="1"/>
  <c r="P1558" i="2"/>
  <c r="Q1558" i="2" s="1"/>
  <c r="S1558" i="2" s="1"/>
  <c r="P446" i="2"/>
  <c r="Q446" i="2" s="1"/>
  <c r="S446" i="2" s="1"/>
  <c r="P1389" i="2"/>
  <c r="Q1389" i="2" s="1"/>
  <c r="S1389" i="2" s="1"/>
  <c r="P681" i="2"/>
  <c r="P400" i="2"/>
  <c r="Q400" i="2" s="1"/>
  <c r="S400" i="2" s="1"/>
  <c r="P1300" i="2"/>
  <c r="Q1300" i="2" s="1"/>
  <c r="S1300" i="2" s="1"/>
  <c r="V1300" i="2" s="1"/>
  <c r="P1042" i="2"/>
  <c r="P682" i="2"/>
  <c r="P955" i="2"/>
  <c r="Q955" i="2" s="1"/>
  <c r="S955" i="2" s="1"/>
  <c r="P734" i="2"/>
  <c r="P1232" i="2"/>
  <c r="P564" i="2"/>
  <c r="Q564" i="2" s="1"/>
  <c r="S564" i="2" s="1"/>
  <c r="P987" i="2"/>
  <c r="Q987" i="2" s="1"/>
  <c r="S987" i="2" s="1"/>
  <c r="P433" i="2"/>
  <c r="P1077" i="2"/>
  <c r="P1493" i="2"/>
  <c r="Q1493" i="2" s="1"/>
  <c r="S1493" i="2" s="1"/>
  <c r="V1493" i="2" s="1"/>
  <c r="P443" i="2"/>
  <c r="Q443" i="2" s="1"/>
  <c r="S443" i="2" s="1"/>
  <c r="P313" i="2"/>
  <c r="Q313" i="2" s="1"/>
  <c r="S313" i="2" s="1"/>
  <c r="P1066" i="2"/>
  <c r="Q1066" i="2" s="1"/>
  <c r="S1066" i="2" s="1"/>
  <c r="P1250" i="2"/>
  <c r="Q1250" i="2" s="1"/>
  <c r="S1250" i="2" s="1"/>
  <c r="V1250" i="2" s="1"/>
  <c r="P1225" i="2"/>
  <c r="P256" i="2"/>
  <c r="Q256" i="2" s="1"/>
  <c r="S256" i="2" s="1"/>
  <c r="P836" i="2"/>
  <c r="Q836" i="2" s="1"/>
  <c r="S836" i="2" s="1"/>
  <c r="P1438" i="2"/>
  <c r="Q1438" i="2" s="1"/>
  <c r="S1438" i="2" s="1"/>
  <c r="P391" i="2"/>
  <c r="P1081" i="2"/>
  <c r="Q1081" i="2" s="1"/>
  <c r="S1081" i="2" s="1"/>
  <c r="P250" i="2"/>
  <c r="Q250" i="2" s="1"/>
  <c r="S250" i="2" s="1"/>
  <c r="P285" i="2"/>
  <c r="Q285" i="2" s="1"/>
  <c r="S285" i="2" s="1"/>
  <c r="P830" i="2"/>
  <c r="P1397" i="2"/>
  <c r="P1452" i="2"/>
  <c r="Q1452" i="2" s="1"/>
  <c r="S1452" i="2" s="1"/>
  <c r="V1452" i="2" s="1"/>
  <c r="P404" i="2"/>
  <c r="Q404" i="2" s="1"/>
  <c r="S404" i="2" s="1"/>
  <c r="P620" i="2"/>
  <c r="P490" i="2"/>
  <c r="Q490" i="2" s="1"/>
  <c r="S490" i="2" s="1"/>
  <c r="P643" i="2"/>
  <c r="P753" i="2"/>
  <c r="Q753" i="2" s="1"/>
  <c r="S753" i="2" s="1"/>
  <c r="P317" i="2"/>
  <c r="Q317" i="2" s="1"/>
  <c r="S317" i="2" s="1"/>
  <c r="P768" i="2"/>
  <c r="Q768" i="2" s="1"/>
  <c r="S768" i="2" s="1"/>
  <c r="P1172" i="2"/>
  <c r="Q1172" i="2" s="1"/>
  <c r="S1172" i="2" s="1"/>
  <c r="P1310" i="2"/>
  <c r="Q1310" i="2" s="1"/>
  <c r="S1310" i="2" s="1"/>
  <c r="P1236" i="2"/>
  <c r="Q1236" i="2" s="1"/>
  <c r="S1236" i="2" s="1"/>
  <c r="V1236" i="2" s="1"/>
  <c r="P1370" i="2"/>
  <c r="Q1370" i="2" s="1"/>
  <c r="S1370" i="2" s="1"/>
  <c r="P685" i="2"/>
  <c r="P1334" i="2"/>
  <c r="Q1334" i="2" s="1"/>
  <c r="S1334" i="2" s="1"/>
  <c r="P942" i="2"/>
  <c r="P352" i="2"/>
  <c r="Q352" i="2" s="1"/>
  <c r="S352" i="2" s="1"/>
  <c r="P370" i="2"/>
  <c r="Q370" i="2" s="1"/>
  <c r="S370" i="2" s="1"/>
  <c r="P369" i="2"/>
  <c r="Q369" i="2" s="1"/>
  <c r="S369" i="2" s="1"/>
  <c r="P835" i="2"/>
  <c r="Q835" i="2" s="1"/>
  <c r="S835" i="2" s="1"/>
  <c r="P1118" i="2"/>
  <c r="Q1118" i="2" s="1"/>
  <c r="S1118" i="2" s="1"/>
  <c r="P1005" i="2"/>
  <c r="Q1005" i="2" s="1"/>
  <c r="S1005" i="2" s="1"/>
  <c r="P472" i="2"/>
  <c r="Q472" i="2" s="1"/>
  <c r="S472" i="2" s="1"/>
  <c r="P673" i="2"/>
  <c r="Q673" i="2" s="1"/>
  <c r="S673" i="2" s="1"/>
  <c r="P1338" i="2"/>
  <c r="Q1338" i="2" s="1"/>
  <c r="S1338" i="2" s="1"/>
  <c r="P652" i="2"/>
  <c r="Q652" i="2" s="1"/>
  <c r="S652" i="2" s="1"/>
  <c r="P282" i="2"/>
  <c r="Q282" i="2" s="1"/>
  <c r="S282" i="2" s="1"/>
  <c r="P314" i="2"/>
  <c r="Q314" i="2" s="1"/>
  <c r="S314" i="2" s="1"/>
  <c r="P982" i="2"/>
  <c r="P798" i="2"/>
  <c r="Q798" i="2" s="1"/>
  <c r="S798" i="2" s="1"/>
  <c r="P1003" i="2"/>
  <c r="Q1003" i="2" s="1"/>
  <c r="S1003" i="2" s="1"/>
  <c r="P371" i="2"/>
  <c r="P600" i="2"/>
  <c r="Q600" i="2" s="1"/>
  <c r="S600" i="2" s="1"/>
  <c r="P991" i="2"/>
  <c r="Q991" i="2" s="1"/>
  <c r="S991" i="2" s="1"/>
  <c r="P1268" i="2"/>
  <c r="P746" i="2"/>
  <c r="P1295" i="2"/>
  <c r="Q1295" i="2" s="1"/>
  <c r="S1295" i="2" s="1"/>
  <c r="V1295" i="2" s="1"/>
  <c r="P683" i="2"/>
  <c r="Q683" i="2" s="1"/>
  <c r="S683" i="2" s="1"/>
  <c r="P1130" i="2"/>
  <c r="Q1130" i="2" s="1"/>
  <c r="S1130" i="2" s="1"/>
  <c r="P1394" i="2"/>
  <c r="Q1394" i="2" s="1"/>
  <c r="S1394" i="2" s="1"/>
  <c r="P1541" i="2"/>
  <c r="Q1541" i="2" s="1"/>
  <c r="S1541" i="2" s="1"/>
  <c r="V1541" i="2" s="1"/>
  <c r="P1330" i="2"/>
  <c r="Q1330" i="2" s="1"/>
  <c r="S1330" i="2" s="1"/>
  <c r="P1281" i="2"/>
  <c r="Q1281" i="2" s="1"/>
  <c r="S1281" i="2" s="1"/>
  <c r="V1281" i="2" s="1"/>
  <c r="P1014" i="2"/>
  <c r="Q1014" i="2" s="1"/>
  <c r="S1014" i="2" s="1"/>
  <c r="P1072" i="2"/>
  <c r="Q1072" i="2" s="1"/>
  <c r="S1072" i="2" s="1"/>
  <c r="P368" i="2"/>
  <c r="Q368" i="2" s="1"/>
  <c r="S368" i="2" s="1"/>
  <c r="P1422" i="2"/>
  <c r="Q1422" i="2" s="1"/>
  <c r="S1422" i="2" s="1"/>
  <c r="P1061" i="2"/>
  <c r="Q1061" i="2" s="1"/>
  <c r="S1061" i="2" s="1"/>
  <c r="P659" i="2"/>
  <c r="Q659" i="2" s="1"/>
  <c r="S659" i="2" s="1"/>
  <c r="P309" i="2"/>
  <c r="P271" i="2"/>
  <c r="Q271" i="2" s="1"/>
  <c r="S271" i="2" s="1"/>
  <c r="P499" i="2"/>
  <c r="Q499" i="2" s="1"/>
  <c r="S499" i="2" s="1"/>
  <c r="P1144" i="2"/>
  <c r="Q1144" i="2" s="1"/>
  <c r="S1144" i="2" s="1"/>
  <c r="P656" i="2"/>
  <c r="P632" i="2"/>
  <c r="Q632" i="2" s="1"/>
  <c r="S632" i="2" s="1"/>
  <c r="P964" i="2"/>
  <c r="Q964" i="2" s="1"/>
  <c r="S964" i="2" s="1"/>
  <c r="P1152" i="2"/>
  <c r="Q1152" i="2" s="1"/>
  <c r="S1152" i="2" s="1"/>
  <c r="P275" i="2"/>
  <c r="Q275" i="2" s="1"/>
  <c r="S275" i="2" s="1"/>
  <c r="P1143" i="2"/>
  <c r="Q1143" i="2" s="1"/>
  <c r="S1143" i="2" s="1"/>
  <c r="P1063" i="2"/>
  <c r="Q1063" i="2" s="1"/>
  <c r="S1063" i="2" s="1"/>
  <c r="P1485" i="2"/>
  <c r="P1486" i="2"/>
  <c r="Q1486" i="2" s="1"/>
  <c r="S1486" i="2" s="1"/>
  <c r="V1486" i="2" s="1"/>
  <c r="P1404" i="2"/>
  <c r="Q1404" i="2" s="1"/>
  <c r="S1404" i="2" s="1"/>
  <c r="P1505" i="2"/>
  <c r="Q1505" i="2" s="1"/>
  <c r="S1505" i="2" s="1"/>
  <c r="V1505" i="2" s="1"/>
  <c r="P1403" i="2"/>
  <c r="P1506" i="2"/>
  <c r="Q1506" i="2" s="1"/>
  <c r="S1506" i="2" s="1"/>
  <c r="V1506" i="2" s="1"/>
  <c r="P1504" i="2"/>
  <c r="V1558" i="2" l="1"/>
  <c r="W1558" i="2"/>
  <c r="V1560" i="2"/>
  <c r="W1560" i="2"/>
  <c r="V1557" i="2"/>
  <c r="W1557" i="2"/>
  <c r="V1559" i="2"/>
  <c r="W1559" i="2"/>
  <c r="V1561" i="2"/>
  <c r="W1561" i="2"/>
  <c r="W1374" i="2"/>
  <c r="V1374" i="2"/>
  <c r="W1430" i="2"/>
  <c r="V1430" i="2"/>
  <c r="V1306" i="2"/>
  <c r="W1306" i="2"/>
  <c r="Q1513" i="2"/>
  <c r="Q1165" i="2"/>
  <c r="Q720" i="2"/>
  <c r="V1392" i="2"/>
  <c r="W1392" i="2"/>
  <c r="W1391" i="2"/>
  <c r="V1391" i="2"/>
  <c r="Q1507" i="2"/>
  <c r="Q254" i="2"/>
  <c r="Q530" i="2"/>
  <c r="Q1270" i="2"/>
  <c r="V1393" i="2"/>
  <c r="W1393" i="2"/>
  <c r="Q416" i="2"/>
  <c r="Q1060" i="2"/>
  <c r="Q629" i="2"/>
  <c r="V1364" i="2"/>
  <c r="W1364" i="2"/>
  <c r="Q760" i="2"/>
  <c r="Q1092" i="2"/>
  <c r="Q448" i="2"/>
  <c r="W1305" i="2"/>
  <c r="V1305" i="2"/>
  <c r="Q327" i="2"/>
  <c r="V1335" i="2"/>
  <c r="W1335" i="2"/>
  <c r="Q1140" i="2"/>
  <c r="W1366" i="2"/>
  <c r="V1366" i="2"/>
  <c r="V1395" i="2"/>
  <c r="W1395" i="2"/>
  <c r="V1361" i="2"/>
  <c r="W1361" i="2"/>
  <c r="V1449" i="2"/>
  <c r="W1449" i="2"/>
  <c r="Q1125" i="2"/>
  <c r="Q664" i="2"/>
  <c r="Q281" i="2"/>
  <c r="V1429" i="2"/>
  <c r="W1429" i="2"/>
  <c r="Q1423" i="2"/>
  <c r="Q610" i="2"/>
  <c r="Q1333" i="2"/>
  <c r="V1421" i="2"/>
  <c r="W1421" i="2"/>
  <c r="W1463" i="2"/>
  <c r="V1463" i="2"/>
  <c r="Q1086" i="2"/>
  <c r="Q239" i="2"/>
  <c r="Q821" i="2"/>
  <c r="Q883" i="2"/>
  <c r="W1388" i="2"/>
  <c r="V1388" i="2"/>
  <c r="Q1535" i="2"/>
  <c r="V1326" i="2"/>
  <c r="W1326" i="2"/>
  <c r="V1343" i="2"/>
  <c r="W1343" i="2"/>
  <c r="W1482" i="2"/>
  <c r="V1482" i="2"/>
  <c r="Q340" i="2"/>
  <c r="Q332" i="2"/>
  <c r="V1323" i="2"/>
  <c r="W1323" i="2"/>
  <c r="W1481" i="2"/>
  <c r="V1481" i="2"/>
  <c r="Q1470" i="2"/>
  <c r="Q509" i="2"/>
  <c r="V1473" i="2"/>
  <c r="W1473" i="2"/>
  <c r="Q1531" i="2"/>
  <c r="Q391" i="2"/>
  <c r="Q1504" i="2"/>
  <c r="Q1485" i="2"/>
  <c r="W1338" i="2"/>
  <c r="V1338" i="2"/>
  <c r="V1370" i="2"/>
  <c r="W1370" i="2"/>
  <c r="Q1397" i="2"/>
  <c r="W1438" i="2"/>
  <c r="V1438" i="2"/>
  <c r="Q1362" i="2"/>
  <c r="Q631" i="2"/>
  <c r="V1368" i="2"/>
  <c r="W1368" i="2"/>
  <c r="W1375" i="2"/>
  <c r="V1375" i="2"/>
  <c r="Q387" i="2"/>
  <c r="V1432" i="2"/>
  <c r="W1432" i="2"/>
  <c r="W1231" i="2"/>
  <c r="V1231" i="2"/>
  <c r="Q895" i="2"/>
  <c r="Q651" i="2"/>
  <c r="Q511" i="2"/>
  <c r="W1380" i="2"/>
  <c r="V1380" i="2"/>
  <c r="W1344" i="2"/>
  <c r="V1344" i="2"/>
  <c r="Q1162" i="2"/>
  <c r="W1468" i="2"/>
  <c r="V1468" i="2"/>
  <c r="Q1103" i="2"/>
  <c r="W1462" i="2"/>
  <c r="V1462" i="2"/>
  <c r="Q1524" i="2"/>
  <c r="W1359" i="2"/>
  <c r="V1359" i="2"/>
  <c r="W1435" i="2"/>
  <c r="V1435" i="2"/>
  <c r="Q310" i="2"/>
  <c r="Q273" i="2"/>
  <c r="W1371" i="2"/>
  <c r="V1371" i="2"/>
  <c r="Q644" i="2"/>
  <c r="Q286" i="2"/>
  <c r="W1425" i="2"/>
  <c r="V1425" i="2"/>
  <c r="Q1408" i="2"/>
  <c r="Q769" i="2"/>
  <c r="Q1008" i="2"/>
  <c r="W1373" i="2"/>
  <c r="V1373" i="2"/>
  <c r="Q1490" i="2"/>
  <c r="Q875" i="2"/>
  <c r="Q583" i="2"/>
  <c r="W1427" i="2"/>
  <c r="V1427" i="2"/>
  <c r="W1376" i="2"/>
  <c r="V1376" i="2"/>
  <c r="V1251" i="2"/>
  <c r="W1251" i="2"/>
  <c r="Q1200" i="2"/>
  <c r="Q898" i="2"/>
  <c r="W1457" i="2"/>
  <c r="V1457" i="2"/>
  <c r="V1341" i="2"/>
  <c r="W1341" i="2"/>
  <c r="Q938" i="2"/>
  <c r="W1311" i="2"/>
  <c r="V1311" i="2"/>
  <c r="W1324" i="2"/>
  <c r="V1324" i="2"/>
  <c r="V1320" i="2"/>
  <c r="W1320" i="2"/>
  <c r="W1455" i="2"/>
  <c r="V1455" i="2"/>
  <c r="Q241" i="2"/>
  <c r="Q1044" i="2"/>
  <c r="Q1315" i="2"/>
  <c r="Q777" i="2"/>
  <c r="Q685" i="2"/>
  <c r="Q656" i="2"/>
  <c r="W1330" i="2"/>
  <c r="V1330" i="2"/>
  <c r="Q746" i="2"/>
  <c r="Q643" i="2"/>
  <c r="Q830" i="2"/>
  <c r="Q1232" i="2"/>
  <c r="Q703" i="2"/>
  <c r="Q824" i="2"/>
  <c r="W1431" i="2"/>
  <c r="V1431" i="2"/>
  <c r="Q375" i="2"/>
  <c r="Q729" i="2"/>
  <c r="V1252" i="2"/>
  <c r="W1252" i="2"/>
  <c r="Q545" i="2"/>
  <c r="Q779" i="2"/>
  <c r="W1346" i="2"/>
  <c r="V1346" i="2"/>
  <c r="Q299" i="2"/>
  <c r="Q618" i="2"/>
  <c r="Q363" i="2"/>
  <c r="Q634" i="2"/>
  <c r="Q1522" i="2"/>
  <c r="Q738" i="2"/>
  <c r="Q1147" i="2"/>
  <c r="Q1117" i="2"/>
  <c r="Q1447" i="2"/>
  <c r="Q688" i="2"/>
  <c r="V1329" i="2"/>
  <c r="W1329" i="2"/>
  <c r="Q357" i="2"/>
  <c r="W1383" i="2"/>
  <c r="V1383" i="2"/>
  <c r="W1360" i="2"/>
  <c r="V1360" i="2"/>
  <c r="Q1028" i="2"/>
  <c r="Q501" i="2"/>
  <c r="W1433" i="2"/>
  <c r="V1433" i="2"/>
  <c r="Q1563" i="2"/>
  <c r="Q1550" i="2"/>
  <c r="V1419" i="2"/>
  <c r="W1419" i="2"/>
  <c r="W1336" i="2"/>
  <c r="V1336" i="2"/>
  <c r="Q948" i="2"/>
  <c r="Q693" i="2"/>
  <c r="Q1255" i="2"/>
  <c r="V1385" i="2"/>
  <c r="W1385" i="2"/>
  <c r="Q1327" i="2"/>
  <c r="Q457" i="2"/>
  <c r="W1400" i="2"/>
  <c r="V1400" i="2"/>
  <c r="Q277" i="2"/>
  <c r="W1342" i="2"/>
  <c r="V1342" i="2"/>
  <c r="V1386" i="2"/>
  <c r="W1386" i="2"/>
  <c r="V1319" i="2"/>
  <c r="W1319" i="2"/>
  <c r="Q1534" i="2"/>
  <c r="V1348" i="2"/>
  <c r="W1348" i="2"/>
  <c r="Q646" i="2"/>
  <c r="W1475" i="2"/>
  <c r="V1475" i="2"/>
  <c r="Q309" i="2"/>
  <c r="Q371" i="2"/>
  <c r="Q1042" i="2"/>
  <c r="Q1403" i="2"/>
  <c r="W1422" i="2"/>
  <c r="V1422" i="2"/>
  <c r="Q1268" i="2"/>
  <c r="Q982" i="2"/>
  <c r="V1310" i="2"/>
  <c r="W1310" i="2"/>
  <c r="Q734" i="2"/>
  <c r="Q681" i="2"/>
  <c r="Q524" i="2"/>
  <c r="Q1054" i="2"/>
  <c r="Q622" i="2"/>
  <c r="Q546" i="2"/>
  <c r="Q1036" i="2"/>
  <c r="Q1461" i="2"/>
  <c r="Q243" i="2"/>
  <c r="V1467" i="2"/>
  <c r="W1467" i="2"/>
  <c r="Q533" i="2"/>
  <c r="Q1565" i="2"/>
  <c r="Q261" i="2"/>
  <c r="Q489" i="2"/>
  <c r="W1402" i="2"/>
  <c r="V1402" i="2"/>
  <c r="Q373" i="2"/>
  <c r="Q1413" i="2"/>
  <c r="Q1356" i="2"/>
  <c r="W1369" i="2"/>
  <c r="V1369" i="2"/>
  <c r="Q1142" i="2"/>
  <c r="Q845" i="2"/>
  <c r="V1363" i="2"/>
  <c r="W1363" i="2"/>
  <c r="V1358" i="2"/>
  <c r="W1358" i="2"/>
  <c r="V1303" i="2"/>
  <c r="W1303" i="2"/>
  <c r="Q810" i="2"/>
  <c r="Q816" i="2"/>
  <c r="Q912" i="2"/>
  <c r="Q811" i="2"/>
  <c r="Q1301" i="2"/>
  <c r="W1372" i="2"/>
  <c r="V1372" i="2"/>
  <c r="W1390" i="2"/>
  <c r="V1390" i="2"/>
  <c r="Q928" i="2"/>
  <c r="W1401" i="2"/>
  <c r="V1401" i="2"/>
  <c r="Q841" i="2"/>
  <c r="V1377" i="2"/>
  <c r="W1377" i="2"/>
  <c r="Q1294" i="2"/>
  <c r="Q1526" i="2"/>
  <c r="V1416" i="2"/>
  <c r="W1416" i="2"/>
  <c r="V1321" i="2"/>
  <c r="W1321" i="2"/>
  <c r="Q1289" i="2"/>
  <c r="Q224" i="2"/>
  <c r="V1426" i="2"/>
  <c r="W1426" i="2"/>
  <c r="Q572" i="2"/>
  <c r="V1325" i="2"/>
  <c r="W1325" i="2"/>
  <c r="W1345" i="2"/>
  <c r="V1345" i="2"/>
  <c r="V1316" i="2"/>
  <c r="W1316" i="2"/>
  <c r="W1472" i="2"/>
  <c r="V1472" i="2"/>
  <c r="V1322" i="2"/>
  <c r="W1322" i="2"/>
  <c r="Q538" i="2"/>
  <c r="V1396" i="2"/>
  <c r="W1396" i="2"/>
  <c r="Q710" i="2"/>
  <c r="V1351" i="2"/>
  <c r="W1351" i="2"/>
  <c r="W1394" i="2"/>
  <c r="V1394" i="2"/>
  <c r="Q942" i="2"/>
  <c r="Q620" i="2"/>
  <c r="Q1225" i="2"/>
  <c r="Q1077" i="2"/>
  <c r="V1389" i="2"/>
  <c r="W1389" i="2"/>
  <c r="Q266" i="2"/>
  <c r="Q596" i="2"/>
  <c r="Q852" i="2"/>
  <c r="Q757" i="2"/>
  <c r="Q568" i="2"/>
  <c r="Q1190" i="2"/>
  <c r="V1439" i="2"/>
  <c r="W1439" i="2"/>
  <c r="W1384" i="2"/>
  <c r="V1384" i="2"/>
  <c r="Q463" i="2"/>
  <c r="Q1148" i="2"/>
  <c r="V1254" i="2"/>
  <c r="W1254" i="2"/>
  <c r="Q410" i="2"/>
  <c r="W1440" i="2"/>
  <c r="V1440" i="2"/>
  <c r="Q855" i="2"/>
  <c r="Q1120" i="2"/>
  <c r="Q495" i="2"/>
  <c r="Q444" i="2"/>
  <c r="Q776" i="2"/>
  <c r="V1378" i="2"/>
  <c r="W1378" i="2"/>
  <c r="Q517" i="2"/>
  <c r="W1253" i="2"/>
  <c r="V1253" i="2"/>
  <c r="Q1166" i="2"/>
  <c r="W1424" i="2"/>
  <c r="V1424" i="2"/>
  <c r="Q535" i="2"/>
  <c r="Q1229" i="2"/>
  <c r="Q504" i="2"/>
  <c r="Q1298" i="2"/>
  <c r="Q393" i="2"/>
  <c r="Q1158" i="2"/>
  <c r="Q740" i="2"/>
  <c r="V1365" i="2"/>
  <c r="W1365" i="2"/>
  <c r="Q712" i="2"/>
  <c r="Q1084" i="2"/>
  <c r="Q1173" i="2"/>
  <c r="V1399" i="2"/>
  <c r="W1399" i="2"/>
  <c r="W1417" i="2"/>
  <c r="V1417" i="2"/>
  <c r="Q304" i="2"/>
  <c r="V1261" i="2"/>
  <c r="W1261" i="2"/>
  <c r="Q1379" i="2"/>
  <c r="Q407" i="2"/>
  <c r="Q861" i="2"/>
  <c r="Q319" i="2"/>
  <c r="Q430" i="2"/>
  <c r="Q1411" i="2"/>
  <c r="Q522" i="2"/>
  <c r="Q1340" i="2"/>
  <c r="W1464" i="2"/>
  <c r="V1464" i="2"/>
  <c r="Q1156" i="2"/>
  <c r="Q1185" i="2"/>
  <c r="Q789" i="2"/>
  <c r="Q528" i="2"/>
  <c r="Q295" i="2"/>
  <c r="Q1085" i="2"/>
  <c r="Q613" i="2"/>
  <c r="Q1521" i="2"/>
  <c r="V1404" i="2"/>
  <c r="W1404" i="2"/>
  <c r="V1334" i="2"/>
  <c r="W1334" i="2"/>
  <c r="Q433" i="2"/>
  <c r="Q682" i="2"/>
  <c r="S871" i="2"/>
  <c r="V1381" i="2"/>
  <c r="W1381" i="2"/>
  <c r="Q1418" i="2"/>
  <c r="Q925" i="2"/>
  <c r="W1398" i="2"/>
  <c r="V1398" i="2"/>
  <c r="Q1038" i="2"/>
  <c r="Q1188" i="2"/>
  <c r="Q1110" i="2"/>
  <c r="V1414" i="2"/>
  <c r="W1414" i="2"/>
  <c r="Q705" i="2"/>
  <c r="Q1238" i="2"/>
  <c r="V1337" i="2"/>
  <c r="W1337" i="2"/>
  <c r="Q560" i="2"/>
  <c r="Q401" i="2"/>
  <c r="Q1328" i="2"/>
  <c r="W1453" i="2"/>
  <c r="V1453" i="2"/>
  <c r="Q298" i="2"/>
  <c r="Q919" i="2"/>
  <c r="Q1180" i="2"/>
  <c r="Q1441" i="2"/>
  <c r="V1350" i="2"/>
  <c r="W1350" i="2"/>
  <c r="Q1495" i="2"/>
  <c r="Q762" i="2"/>
  <c r="Q691" i="2"/>
  <c r="Q1001" i="2"/>
  <c r="Q1387" i="2"/>
  <c r="Q377" i="2"/>
  <c r="V1415" i="2"/>
  <c r="W1415" i="2"/>
  <c r="W1420" i="2"/>
  <c r="V1420" i="2"/>
  <c r="V1357" i="2"/>
  <c r="W1357" i="2"/>
  <c r="Q1248" i="2"/>
  <c r="Q1221" i="2"/>
  <c r="Q639" i="2"/>
  <c r="Q704" i="2"/>
  <c r="V1469" i="2"/>
  <c r="W1469" i="2"/>
  <c r="Q997" i="2"/>
  <c r="Q548" i="2"/>
  <c r="Q786" i="2"/>
  <c r="V1474" i="2"/>
  <c r="W1474" i="2"/>
  <c r="Q484" i="2"/>
  <c r="Q601" i="2"/>
  <c r="V1318" i="2"/>
  <c r="W1318" i="2"/>
  <c r="V1476" i="2"/>
  <c r="W1476" i="2"/>
  <c r="V1458" i="2"/>
  <c r="W1458" i="2"/>
  <c r="Q218" i="2"/>
  <c r="V1465" i="2"/>
  <c r="W1465" i="2"/>
  <c r="S484" i="2" l="1"/>
  <c r="S548" i="2"/>
  <c r="S704" i="2"/>
  <c r="S1248" i="2"/>
  <c r="S1001" i="2"/>
  <c r="S1495" i="2"/>
  <c r="V1495" i="2" s="1"/>
  <c r="S1180" i="2"/>
  <c r="S560" i="2"/>
  <c r="S705" i="2"/>
  <c r="S1188" i="2"/>
  <c r="S925" i="2"/>
  <c r="S613" i="2"/>
  <c r="S528" i="2"/>
  <c r="S1156" i="2"/>
  <c r="S1411" i="2"/>
  <c r="V1411" i="2" s="1"/>
  <c r="S861" i="2"/>
  <c r="S712" i="2"/>
  <c r="S1158" i="2"/>
  <c r="S504" i="2"/>
  <c r="S517" i="2"/>
  <c r="S444" i="2"/>
  <c r="S855" i="2"/>
  <c r="S568" i="2"/>
  <c r="S596" i="2"/>
  <c r="S1077" i="2"/>
  <c r="S942" i="2"/>
  <c r="S710" i="2"/>
  <c r="S1294" i="2"/>
  <c r="V1294" i="2" s="1"/>
  <c r="S912" i="2"/>
  <c r="S845" i="2"/>
  <c r="S1356" i="2"/>
  <c r="S1565" i="2"/>
  <c r="V1565" i="2" s="1"/>
  <c r="S243" i="2"/>
  <c r="S546" i="2"/>
  <c r="S524" i="2"/>
  <c r="S371" i="2"/>
  <c r="S646" i="2"/>
  <c r="S277" i="2"/>
  <c r="S1327" i="2"/>
  <c r="S693" i="2"/>
  <c r="S1117" i="2"/>
  <c r="S1522" i="2"/>
  <c r="V1522" i="2" s="1"/>
  <c r="S618" i="2"/>
  <c r="S779" i="2"/>
  <c r="S729" i="2"/>
  <c r="S824" i="2"/>
  <c r="S583" i="2"/>
  <c r="S1408" i="2"/>
  <c r="V1408" i="2" s="1"/>
  <c r="S644" i="2"/>
  <c r="S310" i="2"/>
  <c r="S1524" i="2"/>
  <c r="V1524" i="2" s="1"/>
  <c r="S895" i="2"/>
  <c r="S387" i="2"/>
  <c r="S631" i="2"/>
  <c r="S1397" i="2"/>
  <c r="S1485" i="2"/>
  <c r="V1485" i="2" s="1"/>
  <c r="S1531" i="2"/>
  <c r="V1531" i="2" s="1"/>
  <c r="S1470" i="2"/>
  <c r="V1470" i="2" s="1"/>
  <c r="S332" i="2"/>
  <c r="S830" i="2"/>
  <c r="S777" i="2"/>
  <c r="S241" i="2"/>
  <c r="S239" i="2"/>
  <c r="S1423" i="2"/>
  <c r="S664" i="2"/>
  <c r="S1140" i="2"/>
  <c r="S760" i="2"/>
  <c r="S1060" i="2"/>
  <c r="S1270" i="2"/>
  <c r="V1270" i="2" s="1"/>
  <c r="S1507" i="2"/>
  <c r="V1507" i="2" s="1"/>
  <c r="S720" i="2"/>
  <c r="S218" i="2"/>
  <c r="S997" i="2"/>
  <c r="S639" i="2"/>
  <c r="S377" i="2"/>
  <c r="S691" i="2"/>
  <c r="S919" i="2"/>
  <c r="S1328" i="2"/>
  <c r="S1038" i="2"/>
  <c r="S1418" i="2"/>
  <c r="S682" i="2"/>
  <c r="S1085" i="2"/>
  <c r="S789" i="2"/>
  <c r="S1340" i="2"/>
  <c r="S430" i="2"/>
  <c r="S407" i="2"/>
  <c r="S304" i="2"/>
  <c r="S1173" i="2"/>
  <c r="S393" i="2"/>
  <c r="S1229" i="2"/>
  <c r="V1229" i="2" s="1"/>
  <c r="S1166" i="2"/>
  <c r="S495" i="2"/>
  <c r="S1148" i="2"/>
  <c r="S757" i="2"/>
  <c r="S266" i="2"/>
  <c r="S1225" i="2"/>
  <c r="V1225" i="2" s="1"/>
  <c r="S224" i="2"/>
  <c r="S928" i="2"/>
  <c r="S1301" i="2"/>
  <c r="S816" i="2"/>
  <c r="S1142" i="2"/>
  <c r="S1413" i="2"/>
  <c r="S489" i="2"/>
  <c r="S533" i="2"/>
  <c r="S1461" i="2"/>
  <c r="S622" i="2"/>
  <c r="S681" i="2"/>
  <c r="S982" i="2"/>
  <c r="S1403" i="2"/>
  <c r="S309" i="2"/>
  <c r="S948" i="2"/>
  <c r="S1550" i="2"/>
  <c r="V1550" i="2" s="1"/>
  <c r="S501" i="2"/>
  <c r="S688" i="2"/>
  <c r="S1147" i="2"/>
  <c r="S634" i="2"/>
  <c r="S299" i="2"/>
  <c r="S545" i="2"/>
  <c r="S375" i="2"/>
  <c r="S703" i="2"/>
  <c r="S938" i="2"/>
  <c r="S898" i="2"/>
  <c r="S875" i="2"/>
  <c r="S1008" i="2"/>
  <c r="S1162" i="2"/>
  <c r="S511" i="2"/>
  <c r="S1362" i="2"/>
  <c r="S1504" i="2"/>
  <c r="V1504" i="2" s="1"/>
  <c r="S340" i="2"/>
  <c r="S643" i="2"/>
  <c r="S656" i="2"/>
  <c r="S1315" i="2"/>
  <c r="S883" i="2"/>
  <c r="S1086" i="2"/>
  <c r="S1333" i="2"/>
  <c r="S1125" i="2"/>
  <c r="S448" i="2"/>
  <c r="S416" i="2"/>
  <c r="S530" i="2"/>
  <c r="S1165" i="2"/>
  <c r="S601" i="2"/>
  <c r="S786" i="2"/>
  <c r="S1221" i="2"/>
  <c r="S1387" i="2"/>
  <c r="S762" i="2"/>
  <c r="S1441" i="2"/>
  <c r="V1441" i="2" s="1"/>
  <c r="S298" i="2"/>
  <c r="S401" i="2"/>
  <c r="S1238" i="2"/>
  <c r="V1238" i="2" s="1"/>
  <c r="S1110" i="2"/>
  <c r="S433" i="2"/>
  <c r="S1521" i="2"/>
  <c r="V1521" i="2" s="1"/>
  <c r="S295" i="2"/>
  <c r="S1185" i="2"/>
  <c r="S522" i="2"/>
  <c r="S319" i="2"/>
  <c r="S1379" i="2"/>
  <c r="S1084" i="2"/>
  <c r="S740" i="2"/>
  <c r="S1298" i="2"/>
  <c r="V1298" i="2" s="1"/>
  <c r="S535" i="2"/>
  <c r="S776" i="2"/>
  <c r="S1120" i="2"/>
  <c r="S410" i="2"/>
  <c r="S463" i="2"/>
  <c r="S1190" i="2"/>
  <c r="S852" i="2"/>
  <c r="S620" i="2"/>
  <c r="S538" i="2"/>
  <c r="S572" i="2"/>
  <c r="S1289" i="2"/>
  <c r="V1289" i="2" s="1"/>
  <c r="S1526" i="2"/>
  <c r="V1526" i="2" s="1"/>
  <c r="S841" i="2"/>
  <c r="S811" i="2"/>
  <c r="S810" i="2"/>
  <c r="S373" i="2"/>
  <c r="S261" i="2"/>
  <c r="S1036" i="2"/>
  <c r="S1054" i="2"/>
  <c r="S734" i="2"/>
  <c r="S1268" i="2"/>
  <c r="V1268" i="2" s="1"/>
  <c r="S1042" i="2"/>
  <c r="S1534" i="2"/>
  <c r="V1534" i="2" s="1"/>
  <c r="S457" i="2"/>
  <c r="S1255" i="2"/>
  <c r="V1255" i="2" s="1"/>
  <c r="S1563" i="2"/>
  <c r="V1563" i="2" s="1"/>
  <c r="S1028" i="2"/>
  <c r="S357" i="2"/>
  <c r="S1447" i="2"/>
  <c r="S738" i="2"/>
  <c r="S363" i="2"/>
  <c r="S1200" i="2"/>
  <c r="V1200" i="2" s="1"/>
  <c r="S1490" i="2"/>
  <c r="V1490" i="2" s="1"/>
  <c r="S769" i="2"/>
  <c r="S286" i="2"/>
  <c r="S273" i="2"/>
  <c r="S1103" i="2"/>
  <c r="S651" i="2"/>
  <c r="S391" i="2"/>
  <c r="S509" i="2"/>
  <c r="S1232" i="2"/>
  <c r="S746" i="2"/>
  <c r="S685" i="2"/>
  <c r="S1044" i="2"/>
  <c r="S1535" i="2"/>
  <c r="V1535" i="2" s="1"/>
  <c r="S821" i="2"/>
  <c r="S610" i="2"/>
  <c r="S281" i="2"/>
  <c r="S327" i="2"/>
  <c r="S1092" i="2"/>
  <c r="S629" i="2"/>
  <c r="S254" i="2"/>
  <c r="S1513" i="2"/>
  <c r="V1513" i="2" s="1"/>
  <c r="W1403" i="2" l="1"/>
  <c r="V1403" i="2"/>
  <c r="V1327" i="2"/>
  <c r="W1327" i="2"/>
  <c r="W1423" i="2"/>
  <c r="V1423" i="2"/>
  <c r="V1232" i="2"/>
  <c r="W1461" i="2"/>
  <c r="V1461" i="2"/>
  <c r="W1413" i="2"/>
  <c r="V1413" i="2"/>
  <c r="V1301" i="2"/>
  <c r="W1301" i="2"/>
  <c r="W1340" i="2"/>
  <c r="V1340" i="2"/>
  <c r="W1328" i="2"/>
  <c r="V1328" i="2"/>
  <c r="V1397" i="2"/>
  <c r="W1397" i="2"/>
  <c r="V1447" i="2"/>
  <c r="W1447" i="2"/>
  <c r="V1387" i="2"/>
  <c r="W1387" i="2"/>
  <c r="V1333" i="2"/>
  <c r="W1333" i="2"/>
  <c r="V1315" i="2"/>
  <c r="W1315" i="2"/>
  <c r="V1362" i="2"/>
  <c r="W1362" i="2"/>
  <c r="V1418" i="2"/>
  <c r="W1418" i="2"/>
  <c r="V1356" i="2"/>
  <c r="W1356" i="2"/>
  <c r="W1379" i="2"/>
  <c r="V1379" i="2"/>
  <c r="V1248" i="2"/>
  <c r="W1248" i="2"/>
  <c r="D1620" i="2" l="1"/>
  <c r="D1634" i="2"/>
  <c r="B1614" i="2"/>
  <c r="C1614" i="2" s="1"/>
  <c r="D1626" i="2"/>
  <c r="E1644" i="2"/>
  <c r="B1618" i="2"/>
  <c r="C1618" i="2" s="1"/>
  <c r="E1645" i="2"/>
  <c r="D1622" i="2"/>
  <c r="E1629" i="2"/>
  <c r="D1625" i="2"/>
  <c r="D1618" i="2"/>
  <c r="D1639" i="2"/>
  <c r="D1628" i="2"/>
  <c r="B1640" i="2"/>
  <c r="C1640" i="2" s="1"/>
  <c r="B1626" i="2"/>
  <c r="C1626" i="2" s="1"/>
  <c r="D1632" i="2"/>
  <c r="E1627" i="2"/>
  <c r="D1643" i="2"/>
  <c r="B1632" i="2"/>
  <c r="C1632" i="2" s="1"/>
  <c r="D1640" i="2"/>
  <c r="E1624" i="2"/>
  <c r="E1615" i="2"/>
  <c r="E1643" i="2"/>
  <c r="E1614" i="2"/>
  <c r="E1632" i="2"/>
  <c r="D1638" i="2"/>
  <c r="E1635" i="2"/>
  <c r="D1633" i="2"/>
  <c r="D1623" i="2"/>
  <c r="D1613" i="2"/>
  <c r="B1635" i="2"/>
  <c r="C1635" i="2" s="1"/>
  <c r="B1629" i="2"/>
  <c r="C1629" i="2" s="1"/>
  <c r="E1617" i="2"/>
  <c r="D1621" i="2"/>
  <c r="E1634" i="2"/>
  <c r="E1641" i="2"/>
  <c r="D1619" i="2"/>
  <c r="B1622" i="2"/>
  <c r="C1622" i="2" s="1"/>
  <c r="E1642" i="2"/>
  <c r="D1629" i="2"/>
  <c r="B1639" i="2"/>
  <c r="C1639" i="2" s="1"/>
  <c r="B1627" i="2"/>
  <c r="C1627" i="2" s="1"/>
  <c r="D1645" i="2"/>
  <c r="B1625" i="2"/>
  <c r="C1625" i="2" s="1"/>
  <c r="D1642" i="2"/>
  <c r="D1631" i="2"/>
  <c r="D1615" i="2"/>
  <c r="E1640" i="2"/>
  <c r="B1624" i="2"/>
  <c r="C1624" i="2" s="1"/>
  <c r="B1630" i="2"/>
  <c r="C1630" i="2" s="1"/>
  <c r="E1628" i="2"/>
  <c r="B1637" i="2"/>
  <c r="C1637" i="2" s="1"/>
  <c r="D1617" i="2"/>
  <c r="B1645" i="2"/>
  <c r="C1645" i="2" s="1"/>
  <c r="D1624" i="2"/>
  <c r="D1630" i="2"/>
  <c r="E1630" i="2"/>
  <c r="B1615" i="2"/>
  <c r="C1615" i="2" s="1"/>
  <c r="B1633" i="2"/>
  <c r="C1633" i="2" s="1"/>
  <c r="B1617" i="2"/>
  <c r="C1617" i="2" s="1"/>
  <c r="D1627" i="2"/>
  <c r="E1633" i="2"/>
  <c r="B1621" i="2"/>
  <c r="C1621" i="2" s="1"/>
  <c r="D1616" i="2"/>
  <c r="E1639" i="2"/>
  <c r="E1625" i="2"/>
  <c r="D1637" i="2"/>
  <c r="D1635" i="2"/>
  <c r="D1614" i="2"/>
  <c r="B1631" i="2"/>
  <c r="C1631" i="2" s="1"/>
  <c r="B1644" i="2"/>
  <c r="C1644" i="2" s="1"/>
  <c r="B1613" i="2"/>
  <c r="C1613" i="2" s="1"/>
  <c r="E1619" i="2"/>
  <c r="D1644" i="2"/>
  <c r="B1628" i="2"/>
  <c r="C1628" i="2" s="1"/>
  <c r="E1631" i="2"/>
  <c r="E1613" i="2"/>
  <c r="B1636" i="2"/>
  <c r="C1636" i="2" s="1"/>
  <c r="B1620" i="2"/>
  <c r="C1620" i="2" s="1"/>
  <c r="E1622" i="2"/>
  <c r="B1638" i="2"/>
  <c r="C1638" i="2" s="1"/>
  <c r="D1641" i="2"/>
  <c r="E1626" i="2"/>
  <c r="E1636" i="2"/>
  <c r="B1623" i="2"/>
  <c r="C1623" i="2" s="1"/>
  <c r="B1642" i="2"/>
  <c r="C1642" i="2" s="1"/>
  <c r="E1616" i="2"/>
  <c r="B1641" i="2"/>
  <c r="C1641" i="2" s="1"/>
  <c r="E1638" i="2"/>
  <c r="B1619" i="2"/>
  <c r="C1619" i="2" s="1"/>
  <c r="B1634" i="2"/>
  <c r="C1634" i="2" s="1"/>
  <c r="E1623" i="2"/>
  <c r="E1621" i="2"/>
  <c r="B1616" i="2"/>
  <c r="C1616" i="2" s="1"/>
  <c r="E1620" i="2"/>
  <c r="E1637" i="2"/>
  <c r="E1618" i="2"/>
  <c r="D1636" i="2"/>
  <c r="B1643" i="2"/>
  <c r="C1643" i="2" s="1"/>
  <c r="B422" i="2"/>
  <c r="C422" i="2" s="1"/>
  <c r="D74" i="2"/>
  <c r="D152" i="2"/>
  <c r="B116" i="2"/>
  <c r="C116" i="2" s="1"/>
  <c r="D54" i="2"/>
  <c r="D141" i="2"/>
  <c r="E60" i="2"/>
  <c r="B146" i="2"/>
  <c r="C146" i="2" s="1"/>
  <c r="B48" i="2"/>
  <c r="C48" i="2" s="1"/>
  <c r="D133" i="2"/>
  <c r="D146" i="2"/>
  <c r="D427" i="2"/>
  <c r="E67" i="2"/>
  <c r="E45" i="2"/>
  <c r="B108" i="2"/>
  <c r="C108" i="2" s="1"/>
  <c r="D80" i="2"/>
  <c r="E136" i="2"/>
  <c r="D93" i="2"/>
  <c r="B49" i="2"/>
  <c r="C49" i="2" s="1"/>
  <c r="D99" i="2"/>
  <c r="E85" i="2"/>
  <c r="D73" i="2"/>
  <c r="E181" i="2"/>
  <c r="B97" i="2"/>
  <c r="C97" i="2" s="1"/>
  <c r="E415" i="2"/>
  <c r="E143" i="2"/>
  <c r="E153" i="2"/>
  <c r="B56" i="2"/>
  <c r="C56" i="2" s="1"/>
  <c r="D158" i="2"/>
  <c r="D49" i="2"/>
  <c r="B87" i="2"/>
  <c r="C87" i="2" s="1"/>
  <c r="D56" i="2"/>
  <c r="E155" i="2"/>
  <c r="D159" i="2"/>
  <c r="D151" i="2"/>
  <c r="B161" i="2"/>
  <c r="C161" i="2" s="1"/>
  <c r="E176" i="2"/>
  <c r="B427" i="2"/>
  <c r="C427" i="2" s="1"/>
  <c r="D120" i="2"/>
  <c r="D414" i="2"/>
  <c r="B92" i="2"/>
  <c r="C92" i="2" s="1"/>
  <c r="B138" i="2"/>
  <c r="C138" i="2" s="1"/>
  <c r="B133" i="2"/>
  <c r="C133" i="2" s="1"/>
  <c r="E68" i="2"/>
  <c r="D69" i="2"/>
  <c r="E87" i="2"/>
  <c r="E72" i="2"/>
  <c r="B156" i="2"/>
  <c r="C156" i="2" s="1"/>
  <c r="E173" i="2"/>
  <c r="B142" i="2"/>
  <c r="C142" i="2" s="1"/>
  <c r="E75" i="2"/>
  <c r="E427" i="2"/>
  <c r="E425" i="2"/>
  <c r="E160" i="2"/>
  <c r="B114" i="2"/>
  <c r="C114" i="2" s="1"/>
  <c r="E426" i="2"/>
  <c r="B178" i="2"/>
  <c r="C178" i="2" s="1"/>
  <c r="E53" i="2"/>
  <c r="B67" i="2"/>
  <c r="C67" i="2" s="1"/>
  <c r="E182" i="2"/>
  <c r="B93" i="2"/>
  <c r="C93" i="2" s="1"/>
  <c r="D102" i="2"/>
  <c r="B141" i="2"/>
  <c r="C141" i="2" s="1"/>
  <c r="E115" i="2"/>
  <c r="E97" i="2"/>
  <c r="D75" i="2"/>
  <c r="B99" i="2"/>
  <c r="C99" i="2" s="1"/>
  <c r="B118" i="2"/>
  <c r="C118" i="2" s="1"/>
  <c r="D167" i="2"/>
  <c r="D164" i="2"/>
  <c r="B423" i="2"/>
  <c r="C423" i="2" s="1"/>
  <c r="B62" i="2"/>
  <c r="C62" i="2" s="1"/>
  <c r="D98" i="2"/>
  <c r="E183" i="2"/>
  <c r="D168" i="2"/>
  <c r="E133" i="2"/>
  <c r="B42" i="2"/>
  <c r="C42" i="2" s="1"/>
  <c r="E65" i="2"/>
  <c r="E157" i="2"/>
  <c r="E423" i="2"/>
  <c r="D422" i="2"/>
  <c r="B91" i="2"/>
  <c r="C91" i="2" s="1"/>
  <c r="D155" i="2"/>
  <c r="D97" i="2"/>
  <c r="E123" i="2"/>
  <c r="E59" i="2"/>
  <c r="B152" i="2"/>
  <c r="C152" i="2" s="1"/>
  <c r="E43" i="2"/>
  <c r="E88" i="2"/>
  <c r="E129" i="2"/>
  <c r="E132" i="2"/>
  <c r="E99" i="2"/>
  <c r="B54" i="2"/>
  <c r="C54" i="2" s="1"/>
  <c r="E49" i="2"/>
  <c r="D53" i="2"/>
  <c r="E141" i="2"/>
  <c r="B151" i="2"/>
  <c r="C151" i="2" s="1"/>
  <c r="D84" i="2"/>
  <c r="D52" i="2"/>
  <c r="D44" i="2"/>
  <c r="E169" i="2"/>
  <c r="E159" i="2"/>
  <c r="E58" i="2"/>
  <c r="D101" i="2"/>
  <c r="B44" i="2"/>
  <c r="C44" i="2" s="1"/>
  <c r="B148" i="2"/>
  <c r="C148" i="2" s="1"/>
  <c r="B64" i="2"/>
  <c r="C64" i="2" s="1"/>
  <c r="B169" i="2"/>
  <c r="C169" i="2" s="1"/>
  <c r="D162" i="2"/>
  <c r="P423" i="2"/>
  <c r="Q423" i="2" s="1"/>
  <c r="S423" i="2" s="1"/>
  <c r="E428" i="2"/>
  <c r="E114" i="2"/>
  <c r="B429" i="2"/>
  <c r="C429" i="2" s="1"/>
  <c r="D122" i="2"/>
  <c r="E413" i="2"/>
  <c r="D428" i="2"/>
  <c r="B153" i="2"/>
  <c r="C153" i="2" s="1"/>
  <c r="B130" i="2"/>
  <c r="C130" i="2" s="1"/>
  <c r="B107" i="2"/>
  <c r="C107" i="2" s="1"/>
  <c r="B96" i="2"/>
  <c r="C96" i="2" s="1"/>
  <c r="E48" i="2"/>
  <c r="B47" i="2"/>
  <c r="C47" i="2" s="1"/>
  <c r="E104" i="2"/>
  <c r="D55" i="2"/>
  <c r="D425" i="2"/>
  <c r="D426" i="2"/>
  <c r="B176" i="2"/>
  <c r="C176" i="2" s="1"/>
  <c r="D117" i="2"/>
  <c r="B85" i="2"/>
  <c r="C85" i="2" s="1"/>
  <c r="B119" i="2"/>
  <c r="C119" i="2" s="1"/>
  <c r="E106" i="2"/>
  <c r="D112" i="2"/>
  <c r="D70" i="2"/>
  <c r="B167" i="2"/>
  <c r="C167" i="2" s="1"/>
  <c r="B122" i="2"/>
  <c r="C122" i="2" s="1"/>
  <c r="E158" i="2"/>
  <c r="D116" i="2"/>
  <c r="B154" i="2"/>
  <c r="C154" i="2" s="1"/>
  <c r="D88" i="2"/>
  <c r="E156" i="2"/>
  <c r="B59" i="2"/>
  <c r="C59" i="2" s="1"/>
  <c r="B182" i="2"/>
  <c r="C182" i="2" s="1"/>
  <c r="E44" i="2"/>
  <c r="B136" i="2"/>
  <c r="C136" i="2" s="1"/>
  <c r="D68" i="2"/>
  <c r="E57" i="2"/>
  <c r="D79" i="2"/>
  <c r="B177" i="2"/>
  <c r="C177" i="2" s="1"/>
  <c r="E170" i="2"/>
  <c r="E93" i="2"/>
  <c r="E94" i="2"/>
  <c r="D59" i="2"/>
  <c r="E178" i="2"/>
  <c r="E113" i="2"/>
  <c r="B139" i="2"/>
  <c r="C139" i="2" s="1"/>
  <c r="B120" i="2"/>
  <c r="C120" i="2" s="1"/>
  <c r="B157" i="2"/>
  <c r="C157" i="2" s="1"/>
  <c r="E89" i="2"/>
  <c r="D45" i="2"/>
  <c r="B137" i="2"/>
  <c r="C137" i="2" s="1"/>
  <c r="D121" i="2"/>
  <c r="B159" i="2"/>
  <c r="C159" i="2" s="1"/>
  <c r="D113" i="2"/>
  <c r="E82" i="2"/>
  <c r="D109" i="2"/>
  <c r="E144" i="2"/>
  <c r="E152" i="2"/>
  <c r="D139" i="2"/>
  <c r="E98" i="2"/>
  <c r="D46" i="2"/>
  <c r="B83" i="2"/>
  <c r="C83" i="2" s="1"/>
  <c r="B174" i="2"/>
  <c r="C174" i="2" s="1"/>
  <c r="E424" i="2"/>
  <c r="B51" i="2"/>
  <c r="C51" i="2" s="1"/>
  <c r="D172" i="2"/>
  <c r="B165" i="2"/>
  <c r="C165" i="2" s="1"/>
  <c r="D136" i="2"/>
  <c r="D149" i="2"/>
  <c r="D51" i="2"/>
  <c r="P70" i="2"/>
  <c r="B168" i="2"/>
  <c r="C168" i="2" s="1"/>
  <c r="D128" i="2"/>
  <c r="D65" i="2"/>
  <c r="B71" i="2"/>
  <c r="C71" i="2" s="1"/>
  <c r="B95" i="2"/>
  <c r="C95" i="2" s="1"/>
  <c r="B150" i="2"/>
  <c r="C150" i="2" s="1"/>
  <c r="D76" i="2"/>
  <c r="E414" i="2"/>
  <c r="P139" i="2"/>
  <c r="B160" i="2"/>
  <c r="C160" i="2" s="1"/>
  <c r="E96" i="2"/>
  <c r="D95" i="2"/>
  <c r="E50" i="2"/>
  <c r="D148" i="2"/>
  <c r="D62" i="2"/>
  <c r="B121" i="2"/>
  <c r="C121" i="2" s="1"/>
  <c r="B163" i="2"/>
  <c r="C163" i="2" s="1"/>
  <c r="E51" i="2"/>
  <c r="B189" i="2"/>
  <c r="C189" i="2" s="1"/>
  <c r="E120" i="2"/>
  <c r="B80" i="2"/>
  <c r="C80" i="2" s="1"/>
  <c r="D175" i="2"/>
  <c r="D173" i="2"/>
  <c r="B88" i="2"/>
  <c r="C88" i="2" s="1"/>
  <c r="B76" i="2"/>
  <c r="C76" i="2" s="1"/>
  <c r="D181" i="2"/>
  <c r="E107" i="2"/>
  <c r="E78" i="2"/>
  <c r="D83" i="2"/>
  <c r="B129" i="2"/>
  <c r="C129" i="2" s="1"/>
  <c r="D111" i="2"/>
  <c r="D169" i="2"/>
  <c r="D63" i="2"/>
  <c r="D150" i="2"/>
  <c r="B117" i="2"/>
  <c r="C117" i="2" s="1"/>
  <c r="D135" i="2"/>
  <c r="B425" i="2"/>
  <c r="C425" i="2" s="1"/>
  <c r="E46" i="2"/>
  <c r="D123" i="2"/>
  <c r="E138" i="2"/>
  <c r="B63" i="2"/>
  <c r="C63" i="2" s="1"/>
  <c r="D108" i="2"/>
  <c r="B102" i="2"/>
  <c r="C102" i="2" s="1"/>
  <c r="B149" i="2"/>
  <c r="C149" i="2" s="1"/>
  <c r="D145" i="2"/>
  <c r="B415" i="2"/>
  <c r="C415" i="2" s="1"/>
  <c r="D91" i="2"/>
  <c r="E52" i="2"/>
  <c r="B180" i="2"/>
  <c r="C180" i="2" s="1"/>
  <c r="B45" i="2"/>
  <c r="C45" i="2" s="1"/>
  <c r="D137" i="2"/>
  <c r="E161" i="2"/>
  <c r="D114" i="2"/>
  <c r="B113" i="2"/>
  <c r="C113" i="2" s="1"/>
  <c r="B78" i="2"/>
  <c r="C78" i="2" s="1"/>
  <c r="B82" i="2"/>
  <c r="C82" i="2" s="1"/>
  <c r="B144" i="2"/>
  <c r="C144" i="2" s="1"/>
  <c r="B112" i="2"/>
  <c r="C112" i="2" s="1"/>
  <c r="E130" i="2"/>
  <c r="D163" i="2"/>
  <c r="B426" i="2"/>
  <c r="C426" i="2" s="1"/>
  <c r="D96" i="2"/>
  <c r="D61" i="2"/>
  <c r="E148" i="2"/>
  <c r="E125" i="2"/>
  <c r="B74" i="2"/>
  <c r="C74" i="2" s="1"/>
  <c r="D81" i="2"/>
  <c r="B143" i="2"/>
  <c r="C143" i="2" s="1"/>
  <c r="B140" i="2"/>
  <c r="C140" i="2" s="1"/>
  <c r="E110" i="2"/>
  <c r="D92" i="2"/>
  <c r="D107" i="2"/>
  <c r="E73" i="2"/>
  <c r="D78" i="2"/>
  <c r="D182" i="2"/>
  <c r="D48" i="2"/>
  <c r="E86" i="2"/>
  <c r="E92" i="2"/>
  <c r="B94" i="2"/>
  <c r="C94" i="2" s="1"/>
  <c r="D50" i="2"/>
  <c r="D110" i="2"/>
  <c r="P90" i="2"/>
  <c r="Q90" i="2" s="1"/>
  <c r="S90" i="2" s="1"/>
  <c r="B104" i="2"/>
  <c r="C104" i="2" s="1"/>
  <c r="D125" i="2"/>
  <c r="D87" i="2"/>
  <c r="E54" i="2"/>
  <c r="B111" i="2"/>
  <c r="C111" i="2" s="1"/>
  <c r="B171" i="2"/>
  <c r="C171" i="2" s="1"/>
  <c r="D127" i="2"/>
  <c r="B131" i="2"/>
  <c r="C131" i="2" s="1"/>
  <c r="E175" i="2"/>
  <c r="E135" i="2"/>
  <c r="B98" i="2"/>
  <c r="C98" i="2" s="1"/>
  <c r="D171" i="2"/>
  <c r="E147" i="2"/>
  <c r="B109" i="2"/>
  <c r="C109" i="2" s="1"/>
  <c r="B90" i="2"/>
  <c r="C90" i="2" s="1"/>
  <c r="B127" i="2"/>
  <c r="C127" i="2" s="1"/>
  <c r="B424" i="2"/>
  <c r="C424" i="2" s="1"/>
  <c r="E128" i="2"/>
  <c r="D103" i="2"/>
  <c r="B145" i="2"/>
  <c r="C145" i="2" s="1"/>
  <c r="B413" i="2"/>
  <c r="C413" i="2" s="1"/>
  <c r="D153" i="2"/>
  <c r="D72" i="2"/>
  <c r="D57" i="2"/>
  <c r="D177" i="2"/>
  <c r="D170" i="2"/>
  <c r="B55" i="2"/>
  <c r="C55" i="2" s="1"/>
  <c r="E177" i="2"/>
  <c r="D179" i="2"/>
  <c r="D413" i="2"/>
  <c r="B162" i="2"/>
  <c r="C162" i="2" s="1"/>
  <c r="E137" i="2"/>
  <c r="B166" i="2"/>
  <c r="C166" i="2" s="1"/>
  <c r="E122" i="2"/>
  <c r="B123" i="2"/>
  <c r="C123" i="2" s="1"/>
  <c r="B75" i="2"/>
  <c r="C75" i="2" s="1"/>
  <c r="E140" i="2"/>
  <c r="D47" i="2"/>
  <c r="B173" i="2"/>
  <c r="C173" i="2" s="1"/>
  <c r="D157" i="2"/>
  <c r="E165" i="2"/>
  <c r="B135" i="2"/>
  <c r="C135" i="2" s="1"/>
  <c r="B110" i="2"/>
  <c r="C110" i="2" s="1"/>
  <c r="B147" i="2"/>
  <c r="C147" i="2" s="1"/>
  <c r="E167" i="2"/>
  <c r="E142" i="2"/>
  <c r="E164" i="2"/>
  <c r="D115" i="2"/>
  <c r="B100" i="2"/>
  <c r="C100" i="2" s="1"/>
  <c r="D140" i="2"/>
  <c r="D154" i="2"/>
  <c r="D161" i="2"/>
  <c r="B61" i="2"/>
  <c r="C61" i="2" s="1"/>
  <c r="E105" i="2"/>
  <c r="B125" i="2"/>
  <c r="C125" i="2" s="1"/>
  <c r="D138" i="2"/>
  <c r="D142" i="2"/>
  <c r="E71" i="2"/>
  <c r="B58" i="2"/>
  <c r="C58" i="2" s="1"/>
  <c r="E83" i="2"/>
  <c r="B89" i="2"/>
  <c r="C89" i="2" s="1"/>
  <c r="B172" i="2"/>
  <c r="C172" i="2" s="1"/>
  <c r="D134" i="2"/>
  <c r="E63" i="2"/>
  <c r="B428" i="2"/>
  <c r="C428" i="2" s="1"/>
  <c r="D105" i="2"/>
  <c r="D423" i="2"/>
  <c r="B126" i="2"/>
  <c r="C126" i="2" s="1"/>
  <c r="B128" i="2"/>
  <c r="C128" i="2" s="1"/>
  <c r="E111" i="2"/>
  <c r="E56" i="2"/>
  <c r="E131" i="2"/>
  <c r="D143" i="2"/>
  <c r="E149" i="2"/>
  <c r="D424" i="2"/>
  <c r="B53" i="2"/>
  <c r="C53" i="2" s="1"/>
  <c r="B60" i="2"/>
  <c r="C60" i="2" s="1"/>
  <c r="B183" i="2"/>
  <c r="C183" i="2" s="1"/>
  <c r="B79" i="2"/>
  <c r="C79" i="2" s="1"/>
  <c r="E118" i="2"/>
  <c r="P181" i="2"/>
  <c r="B115" i="2"/>
  <c r="C115" i="2" s="1"/>
  <c r="B164" i="2"/>
  <c r="C164" i="2" s="1"/>
  <c r="E101" i="2"/>
  <c r="D415" i="2"/>
  <c r="D144" i="2"/>
  <c r="B46" i="2"/>
  <c r="C46" i="2" s="1"/>
  <c r="E61" i="2"/>
  <c r="B124" i="2"/>
  <c r="C124" i="2" s="1"/>
  <c r="E79" i="2"/>
  <c r="E146" i="2"/>
  <c r="D119" i="2"/>
  <c r="B68" i="2"/>
  <c r="C68" i="2" s="1"/>
  <c r="E69" i="2"/>
  <c r="B158" i="2"/>
  <c r="C158" i="2" s="1"/>
  <c r="B52" i="2"/>
  <c r="C52" i="2" s="1"/>
  <c r="B179" i="2"/>
  <c r="C179" i="2" s="1"/>
  <c r="D180" i="2"/>
  <c r="B155" i="2"/>
  <c r="C155" i="2" s="1"/>
  <c r="D160" i="2"/>
  <c r="D94" i="2"/>
  <c r="D176" i="2"/>
  <c r="B81" i="2"/>
  <c r="C81" i="2" s="1"/>
  <c r="B134" i="2"/>
  <c r="C134" i="2" s="1"/>
  <c r="D71" i="2"/>
  <c r="D147" i="2"/>
  <c r="E151" i="2"/>
  <c r="B70" i="2"/>
  <c r="C70" i="2" s="1"/>
  <c r="D429" i="2"/>
  <c r="E55" i="2"/>
  <c r="D104" i="2"/>
  <c r="D100" i="2"/>
  <c r="E117" i="2"/>
  <c r="E166" i="2"/>
  <c r="E172" i="2"/>
  <c r="B50" i="2"/>
  <c r="C50" i="2" s="1"/>
  <c r="B105" i="2"/>
  <c r="C105" i="2" s="1"/>
  <c r="E76" i="2"/>
  <c r="P138" i="2"/>
  <c r="Q138" i="2" s="1"/>
  <c r="S138" i="2" s="1"/>
  <c r="D60" i="2"/>
  <c r="B181" i="2"/>
  <c r="C181" i="2" s="1"/>
  <c r="D131" i="2"/>
  <c r="D82" i="2"/>
  <c r="D85" i="2"/>
  <c r="B77" i="2"/>
  <c r="C77" i="2" s="1"/>
  <c r="D129" i="2"/>
  <c r="D126" i="2"/>
  <c r="E162" i="2"/>
  <c r="D156" i="2"/>
  <c r="E84" i="2"/>
  <c r="D165" i="2"/>
  <c r="B72" i="2"/>
  <c r="C72" i="2" s="1"/>
  <c r="D86" i="2"/>
  <c r="D77" i="2"/>
  <c r="B101" i="2"/>
  <c r="C101" i="2" s="1"/>
  <c r="E62" i="2"/>
  <c r="B73" i="2"/>
  <c r="C73" i="2" s="1"/>
  <c r="B103" i="2"/>
  <c r="C103" i="2" s="1"/>
  <c r="E91" i="2"/>
  <c r="D64" i="2"/>
  <c r="E145" i="2"/>
  <c r="D196" i="2"/>
  <c r="D178" i="2"/>
  <c r="B414" i="2"/>
  <c r="C414" i="2" s="1"/>
  <c r="B175" i="2"/>
  <c r="C175" i="2" s="1"/>
  <c r="D166" i="2"/>
  <c r="B86" i="2"/>
  <c r="C86" i="2" s="1"/>
  <c r="D67" i="2"/>
  <c r="D130" i="2"/>
  <c r="D89" i="2"/>
  <c r="E168" i="2"/>
  <c r="B65" i="2"/>
  <c r="C65" i="2" s="1"/>
  <c r="D183" i="2"/>
  <c r="B69" i="2"/>
  <c r="C69" i="2" s="1"/>
  <c r="B132" i="2"/>
  <c r="C132" i="2" s="1"/>
  <c r="D106" i="2"/>
  <c r="D118" i="2"/>
  <c r="B57" i="2"/>
  <c r="C57" i="2" s="1"/>
  <c r="E422" i="2"/>
  <c r="D174" i="2"/>
  <c r="E47" i="2"/>
  <c r="E70" i="2"/>
  <c r="D58" i="2"/>
  <c r="B170" i="2"/>
  <c r="C170" i="2" s="1"/>
  <c r="B106" i="2"/>
  <c r="C106" i="2" s="1"/>
  <c r="E95" i="2"/>
  <c r="D124" i="2"/>
  <c r="E90" i="2"/>
  <c r="D132" i="2"/>
  <c r="D90" i="2"/>
  <c r="B84" i="2"/>
  <c r="C84" i="2" s="1"/>
  <c r="E64" i="2"/>
  <c r="P135" i="2"/>
  <c r="Q135" i="2" s="1"/>
  <c r="S135" i="2" s="1"/>
  <c r="E180" i="2"/>
  <c r="P142" i="2"/>
  <c r="Q142" i="2" s="1"/>
  <c r="S142" i="2" s="1"/>
  <c r="E102" i="2"/>
  <c r="E139" i="2"/>
  <c r="P53" i="2"/>
  <c r="Q53" i="2" s="1"/>
  <c r="S53" i="2" s="1"/>
  <c r="E112" i="2"/>
  <c r="P89" i="2"/>
  <c r="Q89" i="2" s="1"/>
  <c r="S89" i="2" s="1"/>
  <c r="E134" i="2"/>
  <c r="E150" i="2"/>
  <c r="P56" i="2"/>
  <c r="Q56" i="2" s="1"/>
  <c r="S56" i="2" s="1"/>
  <c r="E429" i="2"/>
  <c r="E124" i="2"/>
  <c r="E74" i="2"/>
  <c r="E154" i="2"/>
  <c r="P426" i="2"/>
  <c r="Q426" i="2" s="1"/>
  <c r="S426" i="2" s="1"/>
  <c r="E103" i="2"/>
  <c r="P425" i="2"/>
  <c r="E77" i="2"/>
  <c r="E81" i="2"/>
  <c r="E127" i="2"/>
  <c r="P422" i="2"/>
  <c r="E163" i="2"/>
  <c r="E119" i="2"/>
  <c r="P57" i="2"/>
  <c r="Q57" i="2" s="1"/>
  <c r="S57" i="2" s="1"/>
  <c r="E109" i="2"/>
  <c r="P54" i="2"/>
  <c r="Q54" i="2" s="1"/>
  <c r="S54" i="2" s="1"/>
  <c r="E174" i="2"/>
  <c r="E121" i="2"/>
  <c r="P55" i="2"/>
  <c r="Q55" i="2" s="1"/>
  <c r="S55" i="2" s="1"/>
  <c r="E179" i="2"/>
  <c r="E80" i="2"/>
  <c r="E126" i="2"/>
  <c r="E100" i="2"/>
  <c r="E108" i="2"/>
  <c r="P140" i="2"/>
  <c r="Q140" i="2" s="1"/>
  <c r="S140" i="2" s="1"/>
  <c r="E171" i="2"/>
  <c r="P158" i="2"/>
  <c r="E116" i="2"/>
  <c r="P52" i="2"/>
  <c r="E197" i="2"/>
  <c r="P169" i="2"/>
  <c r="Q169" i="2" s="1"/>
  <c r="S169" i="2" s="1"/>
  <c r="D192" i="2"/>
  <c r="P82" i="2"/>
  <c r="Q82" i="2" s="1"/>
  <c r="S82" i="2" s="1"/>
  <c r="P112" i="2"/>
  <c r="Q112" i="2" s="1"/>
  <c r="S112" i="2" s="1"/>
  <c r="B190" i="2"/>
  <c r="C190" i="2" s="1"/>
  <c r="P152" i="2"/>
  <c r="Q152" i="2" s="1"/>
  <c r="S152" i="2" s="1"/>
  <c r="P63" i="2"/>
  <c r="Q63" i="2" s="1"/>
  <c r="S63" i="2" s="1"/>
  <c r="P170" i="2"/>
  <c r="Q170" i="2" s="1"/>
  <c r="S170" i="2" s="1"/>
  <c r="B185" i="2"/>
  <c r="C185" i="2" s="1"/>
  <c r="P107" i="2"/>
  <c r="Q107" i="2" s="1"/>
  <c r="S107" i="2" s="1"/>
  <c r="E195" i="2"/>
  <c r="B193" i="2"/>
  <c r="C193" i="2" s="1"/>
  <c r="P171" i="2"/>
  <c r="Q171" i="2" s="1"/>
  <c r="S171" i="2" s="1"/>
  <c r="E191" i="2"/>
  <c r="P97" i="2"/>
  <c r="P77" i="2"/>
  <c r="Q77" i="2" s="1"/>
  <c r="S77" i="2" s="1"/>
  <c r="P128" i="2"/>
  <c r="P175" i="2"/>
  <c r="Q175" i="2" s="1"/>
  <c r="S175" i="2" s="1"/>
  <c r="P187" i="2"/>
  <c r="Q187" i="2" s="1"/>
  <c r="S187" i="2" s="1"/>
  <c r="P110" i="2"/>
  <c r="Q110" i="2" s="1"/>
  <c r="S110" i="2" s="1"/>
  <c r="D195" i="2"/>
  <c r="B191" i="2"/>
  <c r="C191" i="2" s="1"/>
  <c r="P98" i="2"/>
  <c r="Q98" i="2" s="1"/>
  <c r="S98" i="2" s="1"/>
  <c r="P100" i="2"/>
  <c r="Q100" i="2" s="1"/>
  <c r="S100" i="2" s="1"/>
  <c r="P150" i="2"/>
  <c r="Q150" i="2" s="1"/>
  <c r="S150" i="2" s="1"/>
  <c r="P80" i="2"/>
  <c r="Q80" i="2" s="1"/>
  <c r="S80" i="2" s="1"/>
  <c r="P83" i="2"/>
  <c r="Q83" i="2" s="1"/>
  <c r="S83" i="2" s="1"/>
  <c r="P166" i="2"/>
  <c r="Q166" i="2" s="1"/>
  <c r="S166" i="2" s="1"/>
  <c r="P129" i="2"/>
  <c r="Q129" i="2" s="1"/>
  <c r="S129" i="2" s="1"/>
  <c r="P78" i="2"/>
  <c r="Q78" i="2" s="1"/>
  <c r="S78" i="2" s="1"/>
  <c r="P114" i="2"/>
  <c r="Q114" i="2" s="1"/>
  <c r="S114" i="2" s="1"/>
  <c r="E196" i="2"/>
  <c r="P189" i="2"/>
  <c r="Q189" i="2" s="1"/>
  <c r="S189" i="2" s="1"/>
  <c r="D191" i="2"/>
  <c r="D197" i="2"/>
  <c r="E189" i="2"/>
  <c r="P106" i="2"/>
  <c r="Q106" i="2" s="1"/>
  <c r="S106" i="2" s="1"/>
  <c r="B192" i="2"/>
  <c r="C192" i="2" s="1"/>
  <c r="E193" i="2"/>
  <c r="P59" i="2"/>
  <c r="D186" i="2"/>
  <c r="P415" i="2"/>
  <c r="Q415" i="2" s="1"/>
  <c r="S415" i="2" s="1"/>
  <c r="P126" i="2"/>
  <c r="Q126" i="2" s="1"/>
  <c r="S126" i="2" s="1"/>
  <c r="P162" i="2"/>
  <c r="P117" i="2"/>
  <c r="Q117" i="2" s="1"/>
  <c r="S117" i="2" s="1"/>
  <c r="P81" i="2"/>
  <c r="Q81" i="2" s="1"/>
  <c r="S81" i="2" s="1"/>
  <c r="P145" i="2"/>
  <c r="P108" i="2"/>
  <c r="Q108" i="2" s="1"/>
  <c r="S108" i="2" s="1"/>
  <c r="P51" i="2"/>
  <c r="Q51" i="2" s="1"/>
  <c r="S51" i="2" s="1"/>
  <c r="P105" i="2"/>
  <c r="Q105" i="2" s="1"/>
  <c r="S105" i="2" s="1"/>
  <c r="P184" i="2"/>
  <c r="P197" i="2"/>
  <c r="Q197" i="2" s="1"/>
  <c r="S197" i="2" s="1"/>
  <c r="P76" i="2"/>
  <c r="Q76" i="2" s="1"/>
  <c r="S76" i="2" s="1"/>
  <c r="P48" i="2"/>
  <c r="Q48" i="2" s="1"/>
  <c r="S48" i="2" s="1"/>
  <c r="P196" i="2"/>
  <c r="Q196" i="2" s="1"/>
  <c r="S196" i="2" s="1"/>
  <c r="P47" i="2"/>
  <c r="Q47" i="2" s="1"/>
  <c r="S47" i="2" s="1"/>
  <c r="P121" i="2"/>
  <c r="Q121" i="2" s="1"/>
  <c r="S121" i="2" s="1"/>
  <c r="P413" i="2"/>
  <c r="E184" i="2"/>
  <c r="P113" i="2"/>
  <c r="Q113" i="2" s="1"/>
  <c r="S113" i="2" s="1"/>
  <c r="P174" i="2"/>
  <c r="P167" i="2"/>
  <c r="Q167" i="2" s="1"/>
  <c r="S167" i="2" s="1"/>
  <c r="P176" i="2"/>
  <c r="Q176" i="2" s="1"/>
  <c r="S176" i="2" s="1"/>
  <c r="D187" i="2"/>
  <c r="D190" i="2"/>
  <c r="E186" i="2"/>
  <c r="B186" i="2"/>
  <c r="C186" i="2" s="1"/>
  <c r="P192" i="2"/>
  <c r="Q192" i="2" s="1"/>
  <c r="S192" i="2" s="1"/>
  <c r="B194" i="2"/>
  <c r="C194" i="2" s="1"/>
  <c r="P101" i="2"/>
  <c r="Q101" i="2" s="1"/>
  <c r="S101" i="2" s="1"/>
  <c r="P178" i="2"/>
  <c r="Q178" i="2" s="1"/>
  <c r="S178" i="2" s="1"/>
  <c r="P103" i="2"/>
  <c r="Q103" i="2" s="1"/>
  <c r="S103" i="2" s="1"/>
  <c r="P120" i="2"/>
  <c r="Q120" i="2" s="1"/>
  <c r="S120" i="2" s="1"/>
  <c r="P119" i="2"/>
  <c r="Q119" i="2" s="1"/>
  <c r="S119" i="2" s="1"/>
  <c r="P74" i="2"/>
  <c r="E194" i="2"/>
  <c r="P122" i="2"/>
  <c r="B195" i="2"/>
  <c r="C195" i="2" s="1"/>
  <c r="D198" i="2"/>
  <c r="P115" i="2"/>
  <c r="Q115" i="2" s="1"/>
  <c r="S115" i="2" s="1"/>
  <c r="P186" i="2"/>
  <c r="Q186" i="2" s="1"/>
  <c r="S186" i="2" s="1"/>
  <c r="P124" i="2"/>
  <c r="Q124" i="2" s="1"/>
  <c r="S124" i="2" s="1"/>
  <c r="P49" i="2"/>
  <c r="Q49" i="2" s="1"/>
  <c r="S49" i="2" s="1"/>
  <c r="B187" i="2"/>
  <c r="C187" i="2" s="1"/>
  <c r="P99" i="2"/>
  <c r="Q99" i="2" s="1"/>
  <c r="S99" i="2" s="1"/>
  <c r="P65" i="2"/>
  <c r="Q65" i="2" s="1"/>
  <c r="S65" i="2" s="1"/>
  <c r="E192" i="2"/>
  <c r="P72" i="2"/>
  <c r="Q72" i="2" s="1"/>
  <c r="S72" i="2" s="1"/>
  <c r="P414" i="2"/>
  <c r="Q414" i="2" s="1"/>
  <c r="S414" i="2" s="1"/>
  <c r="D184" i="2"/>
  <c r="B188" i="2"/>
  <c r="C188" i="2" s="1"/>
  <c r="D185" i="2"/>
  <c r="D189" i="2"/>
  <c r="P118" i="2"/>
  <c r="Q118" i="2" s="1"/>
  <c r="S118" i="2" s="1"/>
  <c r="P131" i="2"/>
  <c r="Q131" i="2" s="1"/>
  <c r="S131" i="2" s="1"/>
  <c r="P125" i="2"/>
  <c r="Q125" i="2" s="1"/>
  <c r="S125" i="2" s="1"/>
  <c r="P149" i="2"/>
  <c r="Q149" i="2" s="1"/>
  <c r="S149" i="2" s="1"/>
  <c r="P69" i="2"/>
  <c r="B197" i="2"/>
  <c r="C197" i="2" s="1"/>
  <c r="D188" i="2"/>
  <c r="P160" i="2"/>
  <c r="P60" i="2"/>
  <c r="Q60" i="2" s="1"/>
  <c r="S60" i="2" s="1"/>
  <c r="E185" i="2"/>
  <c r="P179" i="2"/>
  <c r="Q179" i="2" s="1"/>
  <c r="S179" i="2" s="1"/>
  <c r="P172" i="2"/>
  <c r="Q172" i="2" s="1"/>
  <c r="S172" i="2" s="1"/>
  <c r="P61" i="2"/>
  <c r="Q61" i="2" s="1"/>
  <c r="S61" i="2" s="1"/>
  <c r="P195" i="2"/>
  <c r="Q195" i="2" s="1"/>
  <c r="S195" i="2" s="1"/>
  <c r="P180" i="2"/>
  <c r="Q180" i="2" s="1"/>
  <c r="S180" i="2" s="1"/>
  <c r="P130" i="2"/>
  <c r="Q130" i="2" s="1"/>
  <c r="S130" i="2" s="1"/>
  <c r="P111" i="2"/>
  <c r="Q111" i="2" s="1"/>
  <c r="S111" i="2" s="1"/>
  <c r="P127" i="2"/>
  <c r="Q127" i="2" s="1"/>
  <c r="S127" i="2" s="1"/>
  <c r="B184" i="2"/>
  <c r="C184" i="2" s="1"/>
  <c r="D193" i="2"/>
  <c r="P427" i="2"/>
  <c r="P50" i="2"/>
  <c r="Q50" i="2" s="1"/>
  <c r="S50" i="2" s="1"/>
  <c r="P134" i="2"/>
  <c r="Q134" i="2" s="1"/>
  <c r="S134" i="2" s="1"/>
  <c r="P46" i="2"/>
  <c r="P109" i="2"/>
  <c r="P428" i="2"/>
  <c r="Q428" i="2" s="1"/>
  <c r="S428" i="2" s="1"/>
  <c r="D194" i="2"/>
  <c r="P102" i="2"/>
  <c r="Q102" i="2" s="1"/>
  <c r="S102" i="2" s="1"/>
  <c r="P151" i="2"/>
  <c r="Q151" i="2" s="1"/>
  <c r="S151" i="2" s="1"/>
  <c r="P154" i="2"/>
  <c r="Q154" i="2" s="1"/>
  <c r="S154" i="2" s="1"/>
  <c r="P146" i="2"/>
  <c r="Q146" i="2" s="1"/>
  <c r="S146" i="2" s="1"/>
  <c r="E190" i="2"/>
  <c r="P165" i="2"/>
  <c r="Q165" i="2" s="1"/>
  <c r="S165" i="2" s="1"/>
  <c r="P147" i="2"/>
  <c r="Q147" i="2" s="1"/>
  <c r="S147" i="2" s="1"/>
  <c r="P79" i="2"/>
  <c r="Q79" i="2" s="1"/>
  <c r="S79" i="2" s="1"/>
  <c r="P191" i="2"/>
  <c r="Q191" i="2" s="1"/>
  <c r="S191" i="2" s="1"/>
  <c r="P188" i="2"/>
  <c r="Q188" i="2" s="1"/>
  <c r="S188" i="2" s="1"/>
  <c r="P71" i="2"/>
  <c r="E198" i="2"/>
  <c r="P64" i="2"/>
  <c r="Q64" i="2" s="1"/>
  <c r="S64" i="2" s="1"/>
  <c r="B196" i="2"/>
  <c r="C196" i="2" s="1"/>
  <c r="E188" i="2"/>
  <c r="P168" i="2"/>
  <c r="Q168" i="2" s="1"/>
  <c r="S168" i="2" s="1"/>
  <c r="P163" i="2"/>
  <c r="Q163" i="2" s="1"/>
  <c r="S163" i="2" s="1"/>
  <c r="P156" i="2"/>
  <c r="P161" i="2"/>
  <c r="Q161" i="2" s="1"/>
  <c r="S161" i="2" s="1"/>
  <c r="P73" i="2"/>
  <c r="Q73" i="2" s="1"/>
  <c r="S73" i="2" s="1"/>
  <c r="P148" i="2"/>
  <c r="Q148" i="2" s="1"/>
  <c r="S148" i="2" s="1"/>
  <c r="P193" i="2"/>
  <c r="Q193" i="2" s="1"/>
  <c r="S193" i="2" s="1"/>
  <c r="P194" i="2"/>
  <c r="Q194" i="2" s="1"/>
  <c r="S194" i="2" s="1"/>
  <c r="P185" i="2"/>
  <c r="Q185" i="2" s="1"/>
  <c r="S185" i="2" s="1"/>
  <c r="E199" i="2"/>
  <c r="B208" i="2"/>
  <c r="C208" i="2" s="1"/>
  <c r="D208" i="2"/>
  <c r="B199" i="2"/>
  <c r="C199" i="2" s="1"/>
  <c r="D199" i="2"/>
  <c r="E208" i="2"/>
  <c r="B200" i="2"/>
  <c r="C200" i="2" s="1"/>
  <c r="D200" i="2"/>
  <c r="D206" i="2"/>
  <c r="B205" i="2"/>
  <c r="C205" i="2" s="1"/>
  <c r="D204" i="2"/>
  <c r="E207" i="2"/>
  <c r="B204" i="2"/>
  <c r="C204" i="2" s="1"/>
  <c r="D201" i="2"/>
  <c r="B202" i="2"/>
  <c r="C202" i="2" s="1"/>
  <c r="E203" i="2"/>
  <c r="E200" i="2"/>
  <c r="E204" i="2"/>
  <c r="D205" i="2"/>
  <c r="E206" i="2"/>
  <c r="D203" i="2"/>
  <c r="D207" i="2"/>
  <c r="E202" i="2"/>
  <c r="B201" i="2"/>
  <c r="C201" i="2" s="1"/>
  <c r="E201" i="2"/>
  <c r="D202" i="2"/>
  <c r="E205" i="2"/>
  <c r="B206" i="2"/>
  <c r="C206" i="2" s="1"/>
  <c r="B207" i="2"/>
  <c r="C207" i="2" s="1"/>
  <c r="D211" i="2"/>
  <c r="P207" i="2"/>
  <c r="Q207" i="2" s="1"/>
  <c r="S207" i="2" s="1"/>
  <c r="B209" i="2"/>
  <c r="C209" i="2" s="1"/>
  <c r="D212" i="2"/>
  <c r="D214" i="2"/>
  <c r="D209" i="2"/>
  <c r="B211" i="2"/>
  <c r="C211" i="2" s="1"/>
  <c r="E210" i="2"/>
  <c r="B212" i="2"/>
  <c r="C212" i="2" s="1"/>
  <c r="B213" i="2"/>
  <c r="C213" i="2" s="1"/>
  <c r="B214" i="2"/>
  <c r="C214" i="2" s="1"/>
  <c r="B215" i="2"/>
  <c r="C215" i="2" s="1"/>
  <c r="P203" i="2"/>
  <c r="P205" i="2"/>
  <c r="Q205" i="2" s="1"/>
  <c r="S205" i="2" s="1"/>
  <c r="E211" i="2"/>
  <c r="P204" i="2"/>
  <c r="Q204" i="2" s="1"/>
  <c r="S204" i="2" s="1"/>
  <c r="D213" i="2"/>
  <c r="E212" i="2"/>
  <c r="E214" i="2"/>
  <c r="E209" i="2"/>
  <c r="D210" i="2"/>
  <c r="E215" i="2"/>
  <c r="B210" i="2"/>
  <c r="C210" i="2" s="1"/>
  <c r="P206" i="2"/>
  <c r="Q206" i="2" s="1"/>
  <c r="S206" i="2" s="1"/>
  <c r="P213" i="2"/>
  <c r="P211" i="2"/>
  <c r="Q211" i="2" s="1"/>
  <c r="S211" i="2" s="1"/>
  <c r="P212" i="2"/>
  <c r="Q212" i="2" s="1"/>
  <c r="S212" i="2" s="1"/>
  <c r="E213" i="2"/>
  <c r="P209" i="2"/>
  <c r="P210" i="2"/>
  <c r="Q210" i="2" s="1"/>
  <c r="S210" i="2" s="1"/>
  <c r="E222" i="2"/>
  <c r="B218" i="2"/>
  <c r="C218" i="2" s="1"/>
  <c r="E219" i="2"/>
  <c r="B220" i="2"/>
  <c r="C220" i="2" s="1"/>
  <c r="D220" i="2"/>
  <c r="D217" i="2"/>
  <c r="B217" i="2"/>
  <c r="C217" i="2" s="1"/>
  <c r="E220" i="2"/>
  <c r="D221" i="2"/>
  <c r="B221" i="2"/>
  <c r="C221" i="2" s="1"/>
  <c r="E216" i="2"/>
  <c r="P214" i="2"/>
  <c r="Q214" i="2" s="1"/>
  <c r="S214" i="2" s="1"/>
  <c r="E223" i="2"/>
  <c r="E221" i="2"/>
  <c r="B216" i="2"/>
  <c r="C216" i="2" s="1"/>
  <c r="D219" i="2"/>
  <c r="D222" i="2"/>
  <c r="B219" i="2"/>
  <c r="C219" i="2" s="1"/>
  <c r="B222" i="2"/>
  <c r="C222" i="2" s="1"/>
  <c r="D216" i="2"/>
  <c r="D218" i="2"/>
  <c r="D223" i="2"/>
  <c r="B223" i="2"/>
  <c r="C223" i="2" s="1"/>
  <c r="E217" i="2"/>
  <c r="E218" i="2"/>
  <c r="P221" i="2"/>
  <c r="Q221" i="2" s="1"/>
  <c r="S221" i="2" s="1"/>
  <c r="P222" i="2"/>
  <c r="Q222" i="2" s="1"/>
  <c r="S222" i="2" s="1"/>
  <c r="P223" i="2"/>
  <c r="Q223" i="2" s="1"/>
  <c r="S223" i="2" s="1"/>
  <c r="P220" i="2"/>
  <c r="P1595" i="2"/>
  <c r="Q1595" i="2" s="1"/>
  <c r="S1595" i="2" s="1"/>
  <c r="V1595" i="2" s="1"/>
  <c r="P1603" i="2"/>
  <c r="Q1603" i="2" s="1"/>
  <c r="S1603" i="2" s="1"/>
  <c r="V1603" i="2" s="1"/>
  <c r="P1590" i="2"/>
  <c r="P1592" i="2"/>
  <c r="Q1592" i="2" s="1"/>
  <c r="S1592" i="2" s="1"/>
  <c r="P1593" i="2"/>
  <c r="Q1593" i="2" s="1"/>
  <c r="S1593" i="2" s="1"/>
  <c r="V1593" i="2" s="1"/>
  <c r="P1594" i="2"/>
  <c r="Q1594" i="2" s="1"/>
  <c r="S1594" i="2" s="1"/>
  <c r="P1597" i="2"/>
  <c r="Q1597" i="2" s="1"/>
  <c r="S1597" i="2" s="1"/>
  <c r="V1597" i="2" s="1"/>
  <c r="P1591" i="2"/>
  <c r="Q1591" i="2" s="1"/>
  <c r="S1591" i="2" s="1"/>
  <c r="V1591" i="2" s="1"/>
  <c r="P1596" i="2"/>
  <c r="Q1596" i="2" s="1"/>
  <c r="S1596" i="2" s="1"/>
  <c r="P1577" i="2"/>
  <c r="P1578" i="2"/>
  <c r="Q1578" i="2" s="1"/>
  <c r="S1578" i="2" s="1"/>
  <c r="V1578" i="2" s="1"/>
  <c r="P1579" i="2"/>
  <c r="Q1579" i="2" s="1"/>
  <c r="S1579" i="2" s="1"/>
  <c r="V1579" i="2" s="1"/>
  <c r="P1588" i="2"/>
  <c r="Q1588" i="2" s="1"/>
  <c r="S1588" i="2" s="1"/>
  <c r="P1572" i="2"/>
  <c r="P1575" i="2"/>
  <c r="Q1575" i="2" s="1"/>
  <c r="S1575" i="2" s="1"/>
  <c r="V1575" i="2" s="1"/>
  <c r="P1574" i="2"/>
  <c r="Q1574" i="2" s="1"/>
  <c r="S1574" i="2" s="1"/>
  <c r="V1574" i="2" s="1"/>
  <c r="P1573" i="2"/>
  <c r="P1580" i="2"/>
  <c r="P1582" i="2"/>
  <c r="Q1582" i="2" s="1"/>
  <c r="S1582" i="2" s="1"/>
  <c r="P1581" i="2"/>
  <c r="Q1581" i="2" s="1"/>
  <c r="S1581" i="2" s="1"/>
  <c r="P1583" i="2"/>
  <c r="Q1583" i="2" s="1"/>
  <c r="S1583" i="2" s="1"/>
  <c r="V1583" i="2" s="1"/>
  <c r="P1586" i="2"/>
  <c r="Q1586" i="2" s="1"/>
  <c r="S1586" i="2" s="1"/>
  <c r="P1585" i="2"/>
  <c r="Q1585" i="2" s="1"/>
  <c r="S1585" i="2" s="1"/>
  <c r="P1584" i="2"/>
  <c r="P1589" i="2"/>
  <c r="Q1589" i="2" s="1"/>
  <c r="S1589" i="2" s="1"/>
  <c r="P1587" i="2"/>
  <c r="Q1587" i="2" s="1"/>
  <c r="S1587" i="2" s="1"/>
  <c r="P1600" i="2"/>
  <c r="Q1600" i="2" s="1"/>
  <c r="S1600" i="2" s="1"/>
  <c r="P1598" i="2"/>
  <c r="P1601" i="2"/>
  <c r="Q1601" i="2" s="1"/>
  <c r="S1601" i="2" s="1"/>
  <c r="V1601" i="2" s="1"/>
  <c r="P1599" i="2"/>
  <c r="Q1599" i="2" s="1"/>
  <c r="S1599" i="2" s="1"/>
  <c r="V1599" i="2" s="1"/>
  <c r="B1655" i="2"/>
  <c r="C1655" i="2" s="1"/>
  <c r="B1612" i="2"/>
  <c r="C1612" i="2" s="1"/>
  <c r="D1608" i="2"/>
  <c r="E1647" i="2"/>
  <c r="D1651" i="2"/>
  <c r="E1611" i="2"/>
  <c r="D1659" i="2"/>
  <c r="B1656" i="2"/>
  <c r="C1656" i="2" s="1"/>
  <c r="D1650" i="2"/>
  <c r="E1605" i="2"/>
  <c r="B1606" i="2"/>
  <c r="C1606" i="2" s="1"/>
  <c r="E1654" i="2"/>
  <c r="B1648" i="2"/>
  <c r="C1648" i="2" s="1"/>
  <c r="D1607" i="2"/>
  <c r="B1647" i="2"/>
  <c r="C1647" i="2" s="1"/>
  <c r="E1651" i="2"/>
  <c r="B1646" i="2"/>
  <c r="C1646" i="2" s="1"/>
  <c r="B1651" i="2"/>
  <c r="C1651" i="2" s="1"/>
  <c r="B1653" i="2"/>
  <c r="C1653" i="2" s="1"/>
  <c r="D1611" i="2"/>
  <c r="E1648" i="2"/>
  <c r="D1655" i="2"/>
  <c r="E1610" i="2"/>
  <c r="D1649" i="2"/>
  <c r="B1608" i="2"/>
  <c r="C1608" i="2" s="1"/>
  <c r="E1650" i="2"/>
  <c r="D1656" i="2"/>
  <c r="B1652" i="2"/>
  <c r="C1652" i="2" s="1"/>
  <c r="D1657" i="2"/>
  <c r="D1612" i="2"/>
  <c r="E1657" i="2"/>
  <c r="D1658" i="2"/>
  <c r="E1656" i="2"/>
  <c r="D1652" i="2"/>
  <c r="B1610" i="2"/>
  <c r="C1610" i="2" s="1"/>
  <c r="B1605" i="2"/>
  <c r="C1605" i="2" s="1"/>
  <c r="D1648" i="2"/>
  <c r="B1609" i="2"/>
  <c r="C1609" i="2" s="1"/>
  <c r="D1610" i="2"/>
  <c r="E1649" i="2"/>
  <c r="D1605" i="2"/>
  <c r="D1653" i="2"/>
  <c r="E1658" i="2"/>
  <c r="B1649" i="2"/>
  <c r="C1649" i="2" s="1"/>
  <c r="E1652" i="2"/>
  <c r="B1654" i="2"/>
  <c r="C1654" i="2" s="1"/>
  <c r="E1608" i="2"/>
  <c r="E1655" i="2"/>
  <c r="B1607" i="2"/>
  <c r="C1607" i="2" s="1"/>
  <c r="B1659" i="2"/>
  <c r="C1659" i="2" s="1"/>
  <c r="B1657" i="2"/>
  <c r="C1657" i="2" s="1"/>
  <c r="D1647" i="2"/>
  <c r="B1650" i="2"/>
  <c r="C1650" i="2" s="1"/>
  <c r="E1646" i="2"/>
  <c r="E1609" i="2"/>
  <c r="B1611" i="2"/>
  <c r="C1611" i="2" s="1"/>
  <c r="B1658" i="2"/>
  <c r="C1658" i="2" s="1"/>
  <c r="E1607" i="2"/>
  <c r="D1646" i="2"/>
  <c r="E1659" i="2"/>
  <c r="D1606" i="2"/>
  <c r="E1606" i="2"/>
  <c r="E1653" i="2"/>
  <c r="D1654" i="2"/>
  <c r="E1612" i="2"/>
  <c r="V1600" i="2" l="1"/>
  <c r="W1600" i="2"/>
  <c r="V1596" i="2"/>
  <c r="W1596" i="2"/>
  <c r="V1594" i="2"/>
  <c r="W1594" i="2"/>
  <c r="V1592" i="2"/>
  <c r="W1592" i="2"/>
  <c r="V1589" i="2"/>
  <c r="W1589" i="2"/>
  <c r="V1588" i="2"/>
  <c r="W1588" i="2"/>
  <c r="V1585" i="2"/>
  <c r="W1585" i="2"/>
  <c r="V1586" i="2"/>
  <c r="W1586" i="2"/>
  <c r="V1587" i="2"/>
  <c r="W1587" i="2"/>
  <c r="V1582" i="2"/>
  <c r="W1582" i="2"/>
  <c r="V1581" i="2"/>
  <c r="W1581" i="2"/>
  <c r="Q71" i="2"/>
  <c r="Q160" i="2"/>
  <c r="Q122" i="2"/>
  <c r="Q145" i="2"/>
  <c r="Q128" i="2"/>
  <c r="Q52" i="2"/>
  <c r="Q422" i="2"/>
  <c r="Q70" i="2"/>
  <c r="Q1584" i="2"/>
  <c r="Q1580" i="2"/>
  <c r="Q220" i="2"/>
  <c r="Q209" i="2"/>
  <c r="Q109" i="2"/>
  <c r="Q413" i="2"/>
  <c r="Q59" i="2"/>
  <c r="Q1573" i="2"/>
  <c r="P1660" i="2"/>
  <c r="R2" i="2"/>
  <c r="Q46" i="2"/>
  <c r="N2" i="2"/>
  <c r="Q74" i="2"/>
  <c r="Q184" i="2"/>
  <c r="Q97" i="2"/>
  <c r="Q158" i="2"/>
  <c r="Q1598" i="2"/>
  <c r="Q1577" i="2"/>
  <c r="Q69" i="2"/>
  <c r="Q162" i="2"/>
  <c r="Q139" i="2"/>
  <c r="Q1590" i="2"/>
  <c r="Q174" i="2"/>
  <c r="Q425" i="2"/>
  <c r="Q1572" i="2"/>
  <c r="Q213" i="2"/>
  <c r="Q203" i="2"/>
  <c r="Q156" i="2"/>
  <c r="Q427" i="2"/>
  <c r="Q181" i="2"/>
  <c r="S181" i="2" l="1"/>
  <c r="S139" i="2"/>
  <c r="S97" i="2"/>
  <c r="S46" i="2"/>
  <c r="N3" i="2"/>
  <c r="N5" i="2" s="1"/>
  <c r="S427" i="2"/>
  <c r="S213" i="2"/>
  <c r="S174" i="2"/>
  <c r="S162" i="2"/>
  <c r="S1598" i="2"/>
  <c r="V1598" i="2" s="1"/>
  <c r="S184" i="2"/>
  <c r="S1" i="2"/>
  <c r="Q3" i="2"/>
  <c r="S59" i="2"/>
  <c r="S209" i="2"/>
  <c r="S1584" i="2"/>
  <c r="S52" i="2"/>
  <c r="S122" i="2"/>
  <c r="S203" i="2"/>
  <c r="S425" i="2"/>
  <c r="S1577" i="2"/>
  <c r="V1577" i="2" s="1"/>
  <c r="S156" i="2"/>
  <c r="S1572" i="2"/>
  <c r="V1572" i="2" s="1"/>
  <c r="S1590" i="2"/>
  <c r="S69" i="2"/>
  <c r="S158" i="2"/>
  <c r="S74" i="2"/>
  <c r="S1573" i="2"/>
  <c r="W1573" i="2" s="1"/>
  <c r="Q1660" i="2"/>
  <c r="S413" i="2"/>
  <c r="S220" i="2"/>
  <c r="S70" i="2"/>
  <c r="S128" i="2"/>
  <c r="S160" i="2"/>
  <c r="S109" i="2"/>
  <c r="S1580" i="2"/>
  <c r="S422" i="2"/>
  <c r="S145" i="2"/>
  <c r="S71" i="2"/>
  <c r="V1590" i="2" l="1"/>
  <c r="W1590" i="2"/>
  <c r="V1584" i="2"/>
  <c r="W1584" i="2"/>
  <c r="V1580" i="2"/>
  <c r="W1580" i="2"/>
  <c r="V1573" i="2"/>
  <c r="S1660" i="2"/>
  <c r="N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Алексей Шурыгин</author>
  </authors>
  <commentList>
    <comment ref="J514" authorId="0" shapeId="0" xr:uid="{7D7F7076-426A-43D3-9A6B-9820BF163D76}">
      <text>
        <r>
          <rPr>
            <b/>
            <sz val="9"/>
            <color indexed="81"/>
            <rFont val="Tahoma"/>
            <family val="2"/>
            <charset val="204"/>
          </rPr>
          <t>Алексей Шурыгин:</t>
        </r>
        <r>
          <rPr>
            <sz val="9"/>
            <color indexed="81"/>
            <rFont val="Tahoma"/>
            <family val="2"/>
            <charset val="204"/>
          </rPr>
          <t xml:space="preserve">
Отмена заказа</t>
        </r>
      </text>
    </comment>
    <comment ref="P567" authorId="0" shapeId="0" xr:uid="{B3DE170F-E61F-4686-A457-FEA18F8D78C6}">
      <text>
        <r>
          <rPr>
            <b/>
            <sz val="9"/>
            <color indexed="81"/>
            <rFont val="Tahoma"/>
            <family val="2"/>
            <charset val="204"/>
          </rPr>
          <t>Алексей Шурыгин:</t>
        </r>
        <r>
          <rPr>
            <sz val="9"/>
            <color indexed="81"/>
            <rFont val="Tahoma"/>
            <family val="2"/>
            <charset val="204"/>
          </rPr>
          <t xml:space="preserve">
Переплата клиента 586р. На возврат отказался.</t>
        </r>
      </text>
    </comment>
  </commentList>
</comments>
</file>

<file path=xl/sharedStrings.xml><?xml version="1.0" encoding="utf-8"?>
<sst xmlns="http://schemas.openxmlformats.org/spreadsheetml/2006/main" count="10631" uniqueCount="2281">
  <si>
    <t>name</t>
  </si>
  <si>
    <t>phone</t>
  </si>
  <si>
    <t>address</t>
  </si>
  <si>
    <t>Percent</t>
  </si>
  <si>
    <t>Элина</t>
  </si>
  <si>
    <t>+79496453192</t>
  </si>
  <si>
    <t>металлургов 102/Кирова,дом возле Натали 2 подъезд</t>
  </si>
  <si>
    <t>Марк Полинкин</t>
  </si>
  <si>
    <t>+79497249302</t>
  </si>
  <si>
    <t>Мичурина 26</t>
  </si>
  <si>
    <t>47.1238, 37.5966</t>
  </si>
  <si>
    <t>Полинка</t>
  </si>
  <si>
    <t>+79497249384</t>
  </si>
  <si>
    <t>маричка</t>
  </si>
  <si>
    <t>+79497231065</t>
  </si>
  <si>
    <t>олимпийская 75</t>
  </si>
  <si>
    <t>47.1082, 37.6743</t>
  </si>
  <si>
    <t>Михаил Ефремов</t>
  </si>
  <si>
    <t>+79497132217</t>
  </si>
  <si>
    <t>пер. солдатский 54</t>
  </si>
  <si>
    <t>Кристина дет.мир</t>
  </si>
  <si>
    <t>+79495192361</t>
  </si>
  <si>
    <t>Покрышкина 156/остановка Покрышкина (встреча с утра!)</t>
  </si>
  <si>
    <t>47.1260, 37.5636</t>
  </si>
  <si>
    <t>Кристина Босанец</t>
  </si>
  <si>
    <t>+79496095519</t>
  </si>
  <si>
    <t>Шевченко 301</t>
  </si>
  <si>
    <t>Валерия Ковалева танковый</t>
  </si>
  <si>
    <t>+79496017032</t>
  </si>
  <si>
    <t>пер. танковый 2а</t>
  </si>
  <si>
    <t>жом жом</t>
  </si>
  <si>
    <t>новый</t>
  </si>
  <si>
    <t>По штрихкоду</t>
  </si>
  <si>
    <t>Галина Агабекова(церковь)</t>
  </si>
  <si>
    <t>+79496069479</t>
  </si>
  <si>
    <t>47.1126, 37.5473</t>
  </si>
  <si>
    <t>виктор</t>
  </si>
  <si>
    <t>+79496248404</t>
  </si>
  <si>
    <t>ул.гонды 46/по договоренности</t>
  </si>
  <si>
    <t>Алена шмалко</t>
  </si>
  <si>
    <t>+79497132215</t>
  </si>
  <si>
    <t>Гонды 42</t>
  </si>
  <si>
    <t>47.1274, 37.5691</t>
  </si>
  <si>
    <t>алекса танковый</t>
  </si>
  <si>
    <t>телеграм</t>
  </si>
  <si>
    <t>пер танковый 2а</t>
  </si>
  <si>
    <t>ято кен</t>
  </si>
  <si>
    <t>+79496330708</t>
  </si>
  <si>
    <t>Зелинского 92</t>
  </si>
  <si>
    <t>Лариса Митрофанова</t>
  </si>
  <si>
    <t>+79497365513</t>
  </si>
  <si>
    <t>строителей 156</t>
  </si>
  <si>
    <t>григорий(танковый )</t>
  </si>
  <si>
    <t>+79497176601</t>
  </si>
  <si>
    <t>47.0894, 37.5416</t>
  </si>
  <si>
    <t>ан</t>
  </si>
  <si>
    <t>+79497095141</t>
  </si>
  <si>
    <t>бульвар Шевченко 262</t>
  </si>
  <si>
    <t>петроград</t>
  </si>
  <si>
    <t>+79497303445</t>
  </si>
  <si>
    <t>Пашковского 47/по договоренности</t>
  </si>
  <si>
    <t>катена осадченко</t>
  </si>
  <si>
    <t>+79497109394</t>
  </si>
  <si>
    <t>Кирова салон красоты</t>
  </si>
  <si>
    <t>Галина приморский</t>
  </si>
  <si>
    <t>+79184465143</t>
  </si>
  <si>
    <t>ул. львовская дом 2-з</t>
  </si>
  <si>
    <t>Александр 1</t>
  </si>
  <si>
    <t>+79497340971</t>
  </si>
  <si>
    <t>металлургов 196</t>
  </si>
  <si>
    <t>47.1343, 37.5664</t>
  </si>
  <si>
    <t>Анжелика</t>
  </si>
  <si>
    <t>+79497109442</t>
  </si>
  <si>
    <t>строителей 147а</t>
  </si>
  <si>
    <t>алина</t>
  </si>
  <si>
    <t>телега</t>
  </si>
  <si>
    <t>по договоренности левый берег</t>
  </si>
  <si>
    <t>Александр 2</t>
  </si>
  <si>
    <t>металлургов 181</t>
  </si>
  <si>
    <t>Роман кожухов</t>
  </si>
  <si>
    <t>+79497167591</t>
  </si>
  <si>
    <t>Шевченко 76</t>
  </si>
  <si>
    <t>+79497183446</t>
  </si>
  <si>
    <t>Мария черногор(танковый )</t>
  </si>
  <si>
    <t>+79496017049</t>
  </si>
  <si>
    <t>алекса фиери</t>
  </si>
  <si>
    <t>+79497237143</t>
  </si>
  <si>
    <t>пр победы 108</t>
  </si>
  <si>
    <t>Николай</t>
  </si>
  <si>
    <t>+79496475171</t>
  </si>
  <si>
    <t>Казанцева 20</t>
  </si>
  <si>
    <t>+79497284454</t>
  </si>
  <si>
    <t>47.1186, 37.5244</t>
  </si>
  <si>
    <t>эсти(ирина)</t>
  </si>
  <si>
    <t>+79495527170</t>
  </si>
  <si>
    <t>по договоренности в районе портсити</t>
  </si>
  <si>
    <t>Алена Бондаренко</t>
  </si>
  <si>
    <t>+79496169408</t>
  </si>
  <si>
    <t>Елена подтынная</t>
  </si>
  <si>
    <t>+79497105138</t>
  </si>
  <si>
    <t>Котляревского 8а</t>
  </si>
  <si>
    <t>виктория</t>
  </si>
  <si>
    <t>металлургов</t>
  </si>
  <si>
    <t>Максим телевизор</t>
  </si>
  <si>
    <t>+79497065096</t>
  </si>
  <si>
    <t>Урицкого 84</t>
  </si>
  <si>
    <t>47.1209, 37.5237</t>
  </si>
  <si>
    <t>Вадим</t>
  </si>
  <si>
    <t>+79497174095</t>
  </si>
  <si>
    <t>авиационная 39</t>
  </si>
  <si>
    <t>47.1250, 37.5332</t>
  </si>
  <si>
    <t>Митрофанов Евгений</t>
  </si>
  <si>
    <t>+79497340681</t>
  </si>
  <si>
    <t>Покрышкина 99</t>
  </si>
  <si>
    <t>47.1259, 37.5629</t>
  </si>
  <si>
    <t>Алексей перфоратор</t>
  </si>
  <si>
    <t>+79497091373</t>
  </si>
  <si>
    <t>уютная 60(Чапаева )</t>
  </si>
  <si>
    <t>47.1157, 37.5424</t>
  </si>
  <si>
    <t>Даша подтынная</t>
  </si>
  <si>
    <t>+79497485996</t>
  </si>
  <si>
    <t>киевская 46</t>
  </si>
  <si>
    <t>Александр 3 Металлургов</t>
  </si>
  <si>
    <t>+79497176548</t>
  </si>
  <si>
    <t>металлургов 179</t>
  </si>
  <si>
    <t>47.1248, 37.5657</t>
  </si>
  <si>
    <t>Александр 3 База</t>
  </si>
  <si>
    <t>База</t>
  </si>
  <si>
    <t>47.1256, 37.5073</t>
  </si>
  <si>
    <t>Богдан</t>
  </si>
  <si>
    <t>+79497394765</t>
  </si>
  <si>
    <t>Кронштадтская 4</t>
  </si>
  <si>
    <t>Эдуард</t>
  </si>
  <si>
    <t>+79497189442</t>
  </si>
  <si>
    <t>Новоселовка /Чапаева</t>
  </si>
  <si>
    <t>янис</t>
  </si>
  <si>
    <t>Родион</t>
  </si>
  <si>
    <t>+79497303577</t>
  </si>
  <si>
    <t>Ляпино,левый</t>
  </si>
  <si>
    <t>Алена запчасти</t>
  </si>
  <si>
    <t>+79497375472</t>
  </si>
  <si>
    <t>строителей 25</t>
  </si>
  <si>
    <t>47.0740, 37.4893</t>
  </si>
  <si>
    <t>Аспаар</t>
  </si>
  <si>
    <t>+79496245802</t>
  </si>
  <si>
    <t>Мартыновский массив 8</t>
  </si>
  <si>
    <t>рестайл(Максим )</t>
  </si>
  <si>
    <t>+79685000110</t>
  </si>
  <si>
    <t>Олег Федоров</t>
  </si>
  <si>
    <t>+79497270194</t>
  </si>
  <si>
    <t>Металлургов 92</t>
  </si>
  <si>
    <t>валерий</t>
  </si>
  <si>
    <t>+79497186995</t>
  </si>
  <si>
    <t>Виктор Леонтьев</t>
  </si>
  <si>
    <t>приморский суд (строителей 52а)</t>
  </si>
  <si>
    <t>Алена фиджи</t>
  </si>
  <si>
    <t>+79498367822</t>
  </si>
  <si>
    <t>зеркальный на центральном рынке</t>
  </si>
  <si>
    <t>Татьяна</t>
  </si>
  <si>
    <t>+79497328160</t>
  </si>
  <si>
    <t>шепотиленко26</t>
  </si>
  <si>
    <t>Даниела Евгеньевна</t>
  </si>
  <si>
    <t>гранитная 112</t>
  </si>
  <si>
    <t>Реус Варя</t>
  </si>
  <si>
    <t>+79494470713</t>
  </si>
  <si>
    <t>металлургов 68</t>
  </si>
  <si>
    <t>а.б</t>
  </si>
  <si>
    <t>+79497162713</t>
  </si>
  <si>
    <t>ас2</t>
  </si>
  <si>
    <t>дима</t>
  </si>
  <si>
    <t>+79497156630</t>
  </si>
  <si>
    <t>ильичевский атб/Пентагон</t>
  </si>
  <si>
    <t>Альбина каляка</t>
  </si>
  <si>
    <t>Паша</t>
  </si>
  <si>
    <t>заправка Вог на портсити</t>
  </si>
  <si>
    <t>Сергей автоключи</t>
  </si>
  <si>
    <t>+79497195787</t>
  </si>
  <si>
    <t>Ленинградский (магазин два брата)130 Таганрогской дивизии 7</t>
  </si>
  <si>
    <t>витя</t>
  </si>
  <si>
    <t>+79497271607</t>
  </si>
  <si>
    <t>защитников Украины 78</t>
  </si>
  <si>
    <t>валик</t>
  </si>
  <si>
    <t>+79496352946</t>
  </si>
  <si>
    <t>Ленинградский /щирый кум</t>
  </si>
  <si>
    <t>Катя</t>
  </si>
  <si>
    <t>азовстальская 166</t>
  </si>
  <si>
    <t>Наталья Троицкий</t>
  </si>
  <si>
    <t>+79497248634</t>
  </si>
  <si>
    <t>заправка первого мая окко</t>
  </si>
  <si>
    <t>Владиславовна</t>
  </si>
  <si>
    <t>+79902075127</t>
  </si>
  <si>
    <t>центр по договорённости</t>
  </si>
  <si>
    <t>Антон</t>
  </si>
  <si>
    <t>+79496283799</t>
  </si>
  <si>
    <t>новые</t>
  </si>
  <si>
    <t>Илюха</t>
  </si>
  <si>
    <t>+79497224148</t>
  </si>
  <si>
    <t>бульвар Шевченко 295</t>
  </si>
  <si>
    <t>Кристина</t>
  </si>
  <si>
    <t>+79497239920</t>
  </si>
  <si>
    <t>новая</t>
  </si>
  <si>
    <t>александра</t>
  </si>
  <si>
    <t>+79497283548</t>
  </si>
  <si>
    <t>комсомольский 52</t>
  </si>
  <si>
    <t>Руденко Юля</t>
  </si>
  <si>
    <t>+79497243297</t>
  </si>
  <si>
    <t>Мариуполь, Митрополитская, 60</t>
  </si>
  <si>
    <t>47.0999, 37.5500</t>
  </si>
  <si>
    <t>Виктор Электростанция</t>
  </si>
  <si>
    <t>Каменск, электростанция</t>
  </si>
  <si>
    <t>Максим рюкзак</t>
  </si>
  <si>
    <t>+79497342757</t>
  </si>
  <si>
    <t>Наталья 12</t>
  </si>
  <si>
    <t>+79497250140</t>
  </si>
  <si>
    <t>Мирный, Моторная 36 / Строителей 52а</t>
  </si>
  <si>
    <t>47.0883, 37.5192</t>
  </si>
  <si>
    <t>Пашок</t>
  </si>
  <si>
    <t>+79496290697</t>
  </si>
  <si>
    <t>ЖД</t>
  </si>
  <si>
    <t>47.0858, 37.5549</t>
  </si>
  <si>
    <t>Лариса Лавицкого 16</t>
  </si>
  <si>
    <t>+79496146139</t>
  </si>
  <si>
    <t>Лавицкого, 16. кв. 53, домофон 38</t>
  </si>
  <si>
    <t>47.0872, 37.5194</t>
  </si>
  <si>
    <t>Горжовская Ульяна NSP</t>
  </si>
  <si>
    <t>Геннадий Генерал</t>
  </si>
  <si>
    <t>+79497529171</t>
  </si>
  <si>
    <t>Морской 48, подъезд 6</t>
  </si>
  <si>
    <t>47.0991, 37.6417</t>
  </si>
  <si>
    <t>Александр 4</t>
  </si>
  <si>
    <t>+79493061352</t>
  </si>
  <si>
    <t>Металлургов Молоко</t>
  </si>
  <si>
    <t>Лариса Кирова</t>
  </si>
  <si>
    <t>+79497266403</t>
  </si>
  <si>
    <t>Металлургов 102 1 подъезд 8 этаж</t>
  </si>
  <si>
    <t>47.1099, 37.5543</t>
  </si>
  <si>
    <t>Елена Вадима</t>
  </si>
  <si>
    <t>+79497167702</t>
  </si>
  <si>
    <t>Елена пер. Фруктовый</t>
  </si>
  <si>
    <t>+79497190408</t>
  </si>
  <si>
    <t>Проектная 10</t>
  </si>
  <si>
    <t>47.1281, 37.5732</t>
  </si>
  <si>
    <t>Кирилл Урицкого 104</t>
  </si>
  <si>
    <t>+79496096498</t>
  </si>
  <si>
    <t>Урицкого 104</t>
  </si>
  <si>
    <t>47.1212, 37.5172</t>
  </si>
  <si>
    <t>Наталья Вельвет</t>
  </si>
  <si>
    <t>+79497385016</t>
  </si>
  <si>
    <t>Шевченко 285А</t>
  </si>
  <si>
    <t>47.1169, 37.5258</t>
  </si>
  <si>
    <t>Ирина Металлургов 165</t>
  </si>
  <si>
    <t>+79497134203</t>
  </si>
  <si>
    <t>Металлургов 165</t>
  </si>
  <si>
    <t>47.1234, 37.5646</t>
  </si>
  <si>
    <t>Антон Максимовка</t>
  </si>
  <si>
    <t>+79497250221</t>
  </si>
  <si>
    <t>Браво</t>
  </si>
  <si>
    <t>Константин Пионерское</t>
  </si>
  <si>
    <t>+79498039849</t>
  </si>
  <si>
    <t>Пионерское</t>
  </si>
  <si>
    <t>Константин Маркет</t>
  </si>
  <si>
    <t>+79497220575</t>
  </si>
  <si>
    <t>Строителей 132 ТЦ Терра маг. TEXNOSTORE</t>
  </si>
  <si>
    <t>47.1099, 37.5242</t>
  </si>
  <si>
    <t>Екатерина Писсуар</t>
  </si>
  <si>
    <t>+79497383556</t>
  </si>
  <si>
    <t>Грушевского 5 подъезд 1</t>
  </si>
  <si>
    <t>47.1194, 37.5141</t>
  </si>
  <si>
    <t>Галина Шевченко 248</t>
  </si>
  <si>
    <t>+79497449616</t>
  </si>
  <si>
    <t>Шевченко 248</t>
  </si>
  <si>
    <t>47.1153, 37.5207</t>
  </si>
  <si>
    <t>Карина Кравченко 17</t>
  </si>
  <si>
    <t>+79496144975</t>
  </si>
  <si>
    <t>пер. Кравченко 17</t>
  </si>
  <si>
    <t>47.1586, 37.6203</t>
  </si>
  <si>
    <t>Макс Куприна</t>
  </si>
  <si>
    <t>+79490055870</t>
  </si>
  <si>
    <t>Куприна 7</t>
  </si>
  <si>
    <t>47.1027, 37.5095</t>
  </si>
  <si>
    <t>Татьяна Торговая 100</t>
  </si>
  <si>
    <t>+79497267699</t>
  </si>
  <si>
    <t>Торговая 100</t>
  </si>
  <si>
    <t>47.1034, 37.5633</t>
  </si>
  <si>
    <t>Александр Каскад</t>
  </si>
  <si>
    <t>+79497172395</t>
  </si>
  <si>
    <t>Торговая 45</t>
  </si>
  <si>
    <t>47.0982, 37.5627</t>
  </si>
  <si>
    <t>Елена Ларисына</t>
  </si>
  <si>
    <t>+79497398064</t>
  </si>
  <si>
    <t>Металлургов, 97</t>
  </si>
  <si>
    <t>47.1070, 37.5542</t>
  </si>
  <si>
    <t>Антон Кондитерка</t>
  </si>
  <si>
    <t>Людмила Эдельвейс</t>
  </si>
  <si>
    <t>+79496019237</t>
  </si>
  <si>
    <t>47.1053, 37.5483</t>
  </si>
  <si>
    <t>Александр Радин</t>
  </si>
  <si>
    <t>+79497277100</t>
  </si>
  <si>
    <t>Артема 132</t>
  </si>
  <si>
    <t>47.1085, 37.5599</t>
  </si>
  <si>
    <t>ПерксХеарт</t>
  </si>
  <si>
    <t>+79498122698</t>
  </si>
  <si>
    <t>Родниковая, 6</t>
  </si>
  <si>
    <t>47.1424, 37.6121</t>
  </si>
  <si>
    <t>Наталья Азовстальская</t>
  </si>
  <si>
    <t>+79497246366</t>
  </si>
  <si>
    <t>Азовстальская 91 подъезд 1</t>
  </si>
  <si>
    <t>47.1008, 37.6529</t>
  </si>
  <si>
    <t>Евгения Восточный</t>
  </si>
  <si>
    <t>+79497106271</t>
  </si>
  <si>
    <t>Урицкого 77</t>
  </si>
  <si>
    <t>47.1228, 37.5167</t>
  </si>
  <si>
    <t>Олег Гагарина 6</t>
  </si>
  <si>
    <t>+79495842838</t>
  </si>
  <si>
    <t>Гагарина 6</t>
  </si>
  <si>
    <t>47.0660, 37.5061</t>
  </si>
  <si>
    <t>Елена Пентагон</t>
  </si>
  <si>
    <t>Инесса</t>
  </si>
  <si>
    <t>+79497247286</t>
  </si>
  <si>
    <t>Владимирская 23/53 кв 3</t>
  </si>
  <si>
    <t>47.1064, 37.6409</t>
  </si>
  <si>
    <t>Наталья Зелинского</t>
  </si>
  <si>
    <t>+79497428404</t>
  </si>
  <si>
    <t>Зелинского 94</t>
  </si>
  <si>
    <t>47.1008, 37.5167</t>
  </si>
  <si>
    <t>Татьяна Олимпийская 65</t>
  </si>
  <si>
    <t>+79497270827</t>
  </si>
  <si>
    <t>Олимпийская 65, кв 28</t>
  </si>
  <si>
    <t>47.1086, 37.6706</t>
  </si>
  <si>
    <t>Импульс</t>
  </si>
  <si>
    <t>+79498133071</t>
  </si>
  <si>
    <t>Нептун</t>
  </si>
  <si>
    <t>47.1310, 37.5671</t>
  </si>
  <si>
    <t>Дарья</t>
  </si>
  <si>
    <t>Александра 50 лет СССР</t>
  </si>
  <si>
    <t>+79497167877</t>
  </si>
  <si>
    <t>50 лет СССР 20 кв 92</t>
  </si>
  <si>
    <t>47.1112, 37.5224</t>
  </si>
  <si>
    <t>Наталья 60 лет СССР</t>
  </si>
  <si>
    <t>+79497094719</t>
  </si>
  <si>
    <t>60 лет СССР 2Б</t>
  </si>
  <si>
    <t>47.1178, 37.5121</t>
  </si>
  <si>
    <t>Виктория Энгельса</t>
  </si>
  <si>
    <t>Телеграм</t>
  </si>
  <si>
    <t>Энгельса 1</t>
  </si>
  <si>
    <t>47.0902, 37.5456</t>
  </si>
  <si>
    <t>Александр электростанция</t>
  </si>
  <si>
    <t>@Filin9819</t>
  </si>
  <si>
    <t>Заря</t>
  </si>
  <si>
    <t>47.3002, 37.5931</t>
  </si>
  <si>
    <t>Валерий СТО ОРИОН</t>
  </si>
  <si>
    <t>+79497398357</t>
  </si>
  <si>
    <t>Макара Мазая 41</t>
  </si>
  <si>
    <t>Даша Калифорния</t>
  </si>
  <si>
    <t>+79496248226</t>
  </si>
  <si>
    <t>Шевченко 274</t>
  </si>
  <si>
    <t>47.1149, 37.5127</t>
  </si>
  <si>
    <t>Юля Ларисына</t>
  </si>
  <si>
    <t>+79497114644</t>
  </si>
  <si>
    <t>Анна соседка</t>
  </si>
  <si>
    <t>+79497105263</t>
  </si>
  <si>
    <t>Казанцева 31</t>
  </si>
  <si>
    <t>47.1070, 37.5475</t>
  </si>
  <si>
    <t>Константин СТО Оптима</t>
  </si>
  <si>
    <t>+79496340956</t>
  </si>
  <si>
    <t>47.1361, 37.5817</t>
  </si>
  <si>
    <t>Дмитрий Виноградная 29</t>
  </si>
  <si>
    <t>+79498470110</t>
  </si>
  <si>
    <t>Виноградная 29</t>
  </si>
  <si>
    <t>47.0924, 37.6476</t>
  </si>
  <si>
    <t>Игорь свалка</t>
  </si>
  <si>
    <t>Городская свалка</t>
  </si>
  <si>
    <t>47.1372, 37.6280</t>
  </si>
  <si>
    <t>Лида корма</t>
  </si>
  <si>
    <t>+79497081831</t>
  </si>
  <si>
    <t>Шевченко 289А</t>
  </si>
  <si>
    <t>47.1168, 37.5229</t>
  </si>
  <si>
    <t>Сергей Кононенко</t>
  </si>
  <si>
    <t>+79497420538</t>
  </si>
  <si>
    <t>Сормовская 2</t>
  </si>
  <si>
    <t>47.1353, 37.5803</t>
  </si>
  <si>
    <t>Екатерина Сартана</t>
  </si>
  <si>
    <t>+79496334298</t>
  </si>
  <si>
    <t>Сартана, Колхозная 21а</t>
  </si>
  <si>
    <t>47.1786, 37.7015</t>
  </si>
  <si>
    <t>Надежда Витамины</t>
  </si>
  <si>
    <t>+79497169864</t>
  </si>
  <si>
    <t>пер. Ейский 9</t>
  </si>
  <si>
    <t>47.0898, 37.5062</t>
  </si>
  <si>
    <t>Артем</t>
  </si>
  <si>
    <t>Клиент от Вадима</t>
  </si>
  <si>
    <t>+79497054651</t>
  </si>
  <si>
    <t>Александра Шлаковый</t>
  </si>
  <si>
    <t>+79896220139</t>
  </si>
  <si>
    <t>Шлаковый, 19</t>
  </si>
  <si>
    <t>47.1233, 37.5704</t>
  </si>
  <si>
    <t>Анатолий Правый</t>
  </si>
  <si>
    <t>+79145805375</t>
  </si>
  <si>
    <t>Верхний блок 144а-2</t>
  </si>
  <si>
    <t>47.1149, 37.5903</t>
  </si>
  <si>
    <t>Татьяна Бригантина</t>
  </si>
  <si>
    <t>+79497336840</t>
  </si>
  <si>
    <t>Бригантина 152</t>
  </si>
  <si>
    <t>47.0779, 37.4879</t>
  </si>
  <si>
    <t>Любовь Виталий</t>
  </si>
  <si>
    <t>+79497386112</t>
  </si>
  <si>
    <t>Шевченко 325</t>
  </si>
  <si>
    <t>47.1193, 37.5172</t>
  </si>
  <si>
    <t>Ольга Македоновка</t>
  </si>
  <si>
    <t>+79497187572</t>
  </si>
  <si>
    <t>Македоновка</t>
  </si>
  <si>
    <t>47.2383, 37.5537</t>
  </si>
  <si>
    <t>Ева</t>
  </si>
  <si>
    <t>https://t.me/EBAKA10</t>
  </si>
  <si>
    <t>Евгений Пономарев</t>
  </si>
  <si>
    <t>+79497382807</t>
  </si>
  <si>
    <t>2 Кальчик 126</t>
  </si>
  <si>
    <t>47.1171, 37.5803</t>
  </si>
  <si>
    <t>Татьяна Леонидовна</t>
  </si>
  <si>
    <t>+79497064345</t>
  </si>
  <si>
    <t>Шевченко 270</t>
  </si>
  <si>
    <t>47.1157, 37.5138</t>
  </si>
  <si>
    <t>Лакарова Татьяна</t>
  </si>
  <si>
    <t>+79497089129</t>
  </si>
  <si>
    <t>Энгельса 28А</t>
  </si>
  <si>
    <t>47.0964, 37.5459</t>
  </si>
  <si>
    <t>Алла Калининград</t>
  </si>
  <si>
    <t>+79498264190</t>
  </si>
  <si>
    <t>Киевская, 66, 1 подъезд</t>
  </si>
  <si>
    <t>47.1213, 37.6846</t>
  </si>
  <si>
    <t>Андрей Бердянское</t>
  </si>
  <si>
    <t>+79498409685</t>
  </si>
  <si>
    <t>Бердянское</t>
  </si>
  <si>
    <t>47.0884, 37.7837</t>
  </si>
  <si>
    <t>Оксна 17 Цветы</t>
  </si>
  <si>
    <t>Троицкая 46</t>
  </si>
  <si>
    <t>47.1119, 37.5147</t>
  </si>
  <si>
    <t>Аня Мирный</t>
  </si>
  <si>
    <t>+79497115237</t>
  </si>
  <si>
    <t>пер Станционный 8</t>
  </si>
  <si>
    <t>47.1640, 37.5780</t>
  </si>
  <si>
    <t>Светлана Федоровна</t>
  </si>
  <si>
    <t>+79497213168</t>
  </si>
  <si>
    <t>Шопена 92</t>
  </si>
  <si>
    <t>47.1582, 37.6032</t>
  </si>
  <si>
    <t>Светлана от Александра</t>
  </si>
  <si>
    <t>+79497262176</t>
  </si>
  <si>
    <t>Металлургов 179, кв 114</t>
  </si>
  <si>
    <t>Максим МВД</t>
  </si>
  <si>
    <t>+79497010929</t>
  </si>
  <si>
    <t>Строителей 145</t>
  </si>
  <si>
    <t>47.1130, 37.5268</t>
  </si>
  <si>
    <t>Андрей Кулигин</t>
  </si>
  <si>
    <t>+79497106171</t>
  </si>
  <si>
    <t>Шевченко 258, 4 подъезд</t>
  </si>
  <si>
    <t>47.1157, 37.5176</t>
  </si>
  <si>
    <t>Лана</t>
  </si>
  <si>
    <t>+79497488953</t>
  </si>
  <si>
    <t>47.0982, 37.4785</t>
  </si>
  <si>
    <t>ДонтГиВап</t>
  </si>
  <si>
    <t>+79490027060</t>
  </si>
  <si>
    <t>Кронштадсткая 6</t>
  </si>
  <si>
    <t>47.0797, 37.5153</t>
  </si>
  <si>
    <t>Валентина</t>
  </si>
  <si>
    <t>+79497095480</t>
  </si>
  <si>
    <t>Трамвайный 10</t>
  </si>
  <si>
    <t>47.1044, 37.5233</t>
  </si>
  <si>
    <t>Грушевского 2б</t>
  </si>
  <si>
    <t>Елена Шевченко 217</t>
  </si>
  <si>
    <t>+79496334882</t>
  </si>
  <si>
    <t>Шевченко 217</t>
  </si>
  <si>
    <t>47.1130, 37.5406</t>
  </si>
  <si>
    <t>Диана</t>
  </si>
  <si>
    <t>+79497145703</t>
  </si>
  <si>
    <t>Строителей 164 подезд 1</t>
  </si>
  <si>
    <t>47.1206, 37.5251</t>
  </si>
  <si>
    <t>Лиия Живописная</t>
  </si>
  <si>
    <t>+79497097873</t>
  </si>
  <si>
    <t>Живописная 7 зеленая крыша</t>
  </si>
  <si>
    <t>47.1237, 37.5313</t>
  </si>
  <si>
    <t>Асланов Владимир</t>
  </si>
  <si>
    <t>+79495000573</t>
  </si>
  <si>
    <t>Металлургов 183</t>
  </si>
  <si>
    <t>47.1266, 37.5650</t>
  </si>
  <si>
    <t>Аннет</t>
  </si>
  <si>
    <t>+79498429781</t>
  </si>
  <si>
    <t>Крымская 42</t>
  </si>
  <si>
    <t>47.1389, 37.5091</t>
  </si>
  <si>
    <t>Конечный потребитель</t>
  </si>
  <si>
    <t>Нет адреса</t>
  </si>
  <si>
    <t>Нет</t>
  </si>
  <si>
    <t>Наталья магазин</t>
  </si>
  <si>
    <t>АлисаСофия</t>
  </si>
  <si>
    <t>+79495521868, +79495332409</t>
  </si>
  <si>
    <t>Нахимова 100</t>
  </si>
  <si>
    <t>47.0793, 37.5157</t>
  </si>
  <si>
    <t>Лариса Терраспорт</t>
  </si>
  <si>
    <t>+79497054056</t>
  </si>
  <si>
    <t>Строителей 132</t>
  </si>
  <si>
    <t>47.1100, 37.5242</t>
  </si>
  <si>
    <t>Виктория операционная</t>
  </si>
  <si>
    <t>+79497057045</t>
  </si>
  <si>
    <t>Бахмутская 20</t>
  </si>
  <si>
    <t>47.1157, 37.5479</t>
  </si>
  <si>
    <t>Светлана Кулаки</t>
  </si>
  <si>
    <t>+79497179245</t>
  </si>
  <si>
    <t>Ткаченко Петренко 3</t>
  </si>
  <si>
    <t>47.0853, 37.5071</t>
  </si>
  <si>
    <t>Подруга Ларисы</t>
  </si>
  <si>
    <t>+79497087468</t>
  </si>
  <si>
    <t>Фрунзе 20</t>
  </si>
  <si>
    <t>47.1190, 37.5418</t>
  </si>
  <si>
    <t>orderNum</t>
  </si>
  <si>
    <t>date</t>
  </si>
  <si>
    <t>client</t>
  </si>
  <si>
    <t>orderSumm</t>
  </si>
  <si>
    <t>deliverySumm</t>
  </si>
  <si>
    <t>totalSumm</t>
  </si>
  <si>
    <t>Итог</t>
  </si>
  <si>
    <t>Сумма закупки</t>
  </si>
  <si>
    <t>Заказ:</t>
  </si>
  <si>
    <t>Сумма доставки</t>
  </si>
  <si>
    <t>Доставка:</t>
  </si>
  <si>
    <t>Итого к оплате</t>
  </si>
  <si>
    <t>Всего оплачено</t>
  </si>
  <si>
    <t>Оплата по СБП по тел. +79497180371</t>
  </si>
  <si>
    <t>Нам должны</t>
  </si>
  <si>
    <t>Посылок в пути</t>
  </si>
  <si>
    <t>item</t>
  </si>
  <si>
    <t>abroad</t>
  </si>
  <si>
    <t>dateTo</t>
  </si>
  <si>
    <t>quantity</t>
  </si>
  <si>
    <t>discountPrice</t>
  </si>
  <si>
    <t>discountSumm</t>
  </si>
  <si>
    <t>price</t>
  </si>
  <si>
    <t>deliveryPost</t>
  </si>
  <si>
    <t>payment</t>
  </si>
  <si>
    <t>Остаток</t>
  </si>
  <si>
    <t>pvzName</t>
  </si>
  <si>
    <t>Заказан</t>
  </si>
  <si>
    <t>Оплачен</t>
  </si>
  <si>
    <t>Получен ПВЗ</t>
  </si>
  <si>
    <t>Выдан Клиенту</t>
  </si>
  <si>
    <t>Туфли</t>
  </si>
  <si>
    <t>WB ДНТ Мирный 8А</t>
  </si>
  <si>
    <t>Да</t>
  </si>
  <si>
    <t>Сумка</t>
  </si>
  <si>
    <t>LK282924447CN</t>
  </si>
  <si>
    <t>OZON ДНТ Мирный 8А</t>
  </si>
  <si>
    <t>Носки</t>
  </si>
  <si>
    <t>Книга</t>
  </si>
  <si>
    <t>Конфеты Мишка</t>
  </si>
  <si>
    <t>да</t>
  </si>
  <si>
    <t>Помада губная</t>
  </si>
  <si>
    <t>Помада для бровей</t>
  </si>
  <si>
    <t>Дешеддер</t>
  </si>
  <si>
    <t>Расческа, триммер</t>
  </si>
  <si>
    <t>Кора из сосны</t>
  </si>
  <si>
    <t>Триферн</t>
  </si>
  <si>
    <t>Горшки для цветов</t>
  </si>
  <si>
    <t>Нитковдеватель</t>
  </si>
  <si>
    <t>Маска для сужения</t>
  </si>
  <si>
    <t>Горшки для орхидей</t>
  </si>
  <si>
    <t>WB Сызранова 23а</t>
  </si>
  <si>
    <t>Тестер блок автомобиля</t>
  </si>
  <si>
    <t>LK282578283CN</t>
  </si>
  <si>
    <t>ПочтаРФ Чехова 269</t>
  </si>
  <si>
    <t>Набор измер. Инструментов</t>
  </si>
  <si>
    <t>LK282577518CN</t>
  </si>
  <si>
    <t>Мини платье</t>
  </si>
  <si>
    <t>Из за рубежа</t>
  </si>
  <si>
    <t>Протеин Maxler</t>
  </si>
  <si>
    <t>Кольцо</t>
  </si>
  <si>
    <t>Книга Том 2</t>
  </si>
  <si>
    <t>Скульптор стик для лица</t>
  </si>
  <si>
    <t>Книга Мартин Иден</t>
  </si>
  <si>
    <t>Стикеры закладки</t>
  </si>
  <si>
    <t>Маркеры</t>
  </si>
  <si>
    <t>Набор Мармеладские игры</t>
  </si>
  <si>
    <t>Кислородный очиститель</t>
  </si>
  <si>
    <t>OZON Сызранова 25б</t>
  </si>
  <si>
    <t>Книга Цветы для Элджернона</t>
  </si>
  <si>
    <t>Наушники</t>
  </si>
  <si>
    <t>Накладка консоли Mercedes</t>
  </si>
  <si>
    <t>ПочтаРФ Сызранова 6</t>
  </si>
  <si>
    <t>Тиски</t>
  </si>
  <si>
    <t>Телефон Samsung</t>
  </si>
  <si>
    <t>Чехол</t>
  </si>
  <si>
    <t>Подсумок</t>
  </si>
  <si>
    <t>Прикормка для рыбалки</t>
  </si>
  <si>
    <t>Подсак для рыбалки</t>
  </si>
  <si>
    <t>Катушка для рыбалки</t>
  </si>
  <si>
    <t>Прикормка для рыбалки Dunaev</t>
  </si>
  <si>
    <t>Рюкзак</t>
  </si>
  <si>
    <t>Прикормка чеснок</t>
  </si>
  <si>
    <t>Пижама</t>
  </si>
  <si>
    <t>Контейнер для еды</t>
  </si>
  <si>
    <t>Discreet 100шт</t>
  </si>
  <si>
    <t>Туалетный блок с хлор</t>
  </si>
  <si>
    <t>Discreet 54шт</t>
  </si>
  <si>
    <t>Туалетный блок цветочный</t>
  </si>
  <si>
    <t>Крепление для телека</t>
  </si>
  <si>
    <t>Экзаменационные билеты</t>
  </si>
  <si>
    <t>Коврик для мыши</t>
  </si>
  <si>
    <t>Снеки</t>
  </si>
  <si>
    <t>Кокосовая сгущенка</t>
  </si>
  <si>
    <t>Соевое Мясо</t>
  </si>
  <si>
    <t>Арахисовая паста</t>
  </si>
  <si>
    <t>Бобы Соевые</t>
  </si>
  <si>
    <t>Чехол противоударный</t>
  </si>
  <si>
    <t>Фен строительный</t>
  </si>
  <si>
    <t>Кеды</t>
  </si>
  <si>
    <t>Монитор</t>
  </si>
  <si>
    <t>OZON Натальевка</t>
  </si>
  <si>
    <t>Трамблер</t>
  </si>
  <si>
    <t>СДЭК Чехова 269</t>
  </si>
  <si>
    <t>Котелок ВДВ</t>
  </si>
  <si>
    <t>АВИТО</t>
  </si>
  <si>
    <t>Зубная щетка</t>
  </si>
  <si>
    <t>Ершики межзубные</t>
  </si>
  <si>
    <t>Книга Шах и мат</t>
  </si>
  <si>
    <t>Папка планшет А5</t>
  </si>
  <si>
    <t>Планшет с зажимом А4</t>
  </si>
  <si>
    <t>Набор маркеров 8 шт</t>
  </si>
  <si>
    <t>Магнитный держатель</t>
  </si>
  <si>
    <t>Книга Триумфальная арка</t>
  </si>
  <si>
    <t>Книга Грозовой перевал</t>
  </si>
  <si>
    <t>Тинт для губ корейский матовый</t>
  </si>
  <si>
    <t xml:space="preserve">Картина по номерам на холсте </t>
  </si>
  <si>
    <t>Подставка магнитная для маркеров</t>
  </si>
  <si>
    <t>Шиномонтаж курьер</t>
  </si>
  <si>
    <t>Посылка СДЭК кофемашина</t>
  </si>
  <si>
    <t>СДЭК Пархоменко 56</t>
  </si>
  <si>
    <t>Чайник электрический</t>
  </si>
  <si>
    <t>Заказ</t>
  </si>
  <si>
    <t>Картриджи Venus</t>
  </si>
  <si>
    <t>Кабель питания</t>
  </si>
  <si>
    <t>Клемма магнитная</t>
  </si>
  <si>
    <t>Стеллаж для туалета</t>
  </si>
  <si>
    <t>Гель для стирки</t>
  </si>
  <si>
    <t>Чеснокодавка</t>
  </si>
  <si>
    <t>Холофайбер</t>
  </si>
  <si>
    <t>Пряжа зеленый</t>
  </si>
  <si>
    <t>Пряжа бирюзовый</t>
  </si>
  <si>
    <t>Пряжа фиолетовый</t>
  </si>
  <si>
    <t>Форма для пельменей</t>
  </si>
  <si>
    <t>Капучинатор для молока</t>
  </si>
  <si>
    <t>Пакеты для хранения</t>
  </si>
  <si>
    <t>Корректор для ног</t>
  </si>
  <si>
    <t>Книга Мышонок Тим</t>
  </si>
  <si>
    <t>Шарф палатнин синий</t>
  </si>
  <si>
    <t>Шарф красный</t>
  </si>
  <si>
    <t>Свитер оверсайз</t>
  </si>
  <si>
    <t>Сок лопуха</t>
  </si>
  <si>
    <t>Журнал Шишкин лес</t>
  </si>
  <si>
    <t>Планшет для рисования</t>
  </si>
  <si>
    <t>Книга Кротик</t>
  </si>
  <si>
    <t>Платок палантин</t>
  </si>
  <si>
    <t>Книга Простые чудеса</t>
  </si>
  <si>
    <t>Книга Шел к богу человек</t>
  </si>
  <si>
    <t>Мука льняная</t>
  </si>
  <si>
    <t>Настойка чистотела</t>
  </si>
  <si>
    <t>Футболка PANIN</t>
  </si>
  <si>
    <t>Футболка PANIN черная</t>
  </si>
  <si>
    <t>Футболка черная принт хлопок</t>
  </si>
  <si>
    <t>Наклейки на окна</t>
  </si>
  <si>
    <t>Наклейки на окна двухсторонние</t>
  </si>
  <si>
    <t>Сима Ленд Наклейки</t>
  </si>
  <si>
    <t>Диффузор для дома</t>
  </si>
  <si>
    <t>Ароматизатор для дома</t>
  </si>
  <si>
    <t>Искусственное растение, дерево</t>
  </si>
  <si>
    <t>Тапочки салатовый</t>
  </si>
  <si>
    <t>Тапочки домашние</t>
  </si>
  <si>
    <t>Гидрофильное масло</t>
  </si>
  <si>
    <t>LK280477579CN</t>
  </si>
  <si>
    <t>LK267944841CN</t>
  </si>
  <si>
    <t>Boxberry Сызранова 25б</t>
  </si>
  <si>
    <t>Плюшевая пряжа</t>
  </si>
  <si>
    <t>Пряжа для вязания</t>
  </si>
  <si>
    <t>Ершик для унитаза</t>
  </si>
  <si>
    <t>Фольга пищевая</t>
  </si>
  <si>
    <t>Перчатки  нитриловые</t>
  </si>
  <si>
    <t>Чистящее средство</t>
  </si>
  <si>
    <t>Шумовка паутинка</t>
  </si>
  <si>
    <t>Мягкая игрушка Гусь</t>
  </si>
  <si>
    <t>Глазки для игрушек</t>
  </si>
  <si>
    <t>Глазки черные для игрушек</t>
  </si>
  <si>
    <t>Блок предохранителей</t>
  </si>
  <si>
    <t>Дорожка ковровая</t>
  </si>
  <si>
    <t>Турецкий ковер</t>
  </si>
  <si>
    <t>Катушка</t>
  </si>
  <si>
    <t>Спининг</t>
  </si>
  <si>
    <t>Планшет зел, красн</t>
  </si>
  <si>
    <t>Кротик, мягкая игрушка</t>
  </si>
  <si>
    <t>Яндекс Сызранова 23а</t>
  </si>
  <si>
    <t>Тостер</t>
  </si>
  <si>
    <t>Набор резинок для волос</t>
  </si>
  <si>
    <t>Стразы для волос</t>
  </si>
  <si>
    <t>Магнитная щетка для окон</t>
  </si>
  <si>
    <t>Кран для кухни</t>
  </si>
  <si>
    <t>Полка для ванной</t>
  </si>
  <si>
    <t>Пакеты фасовочные</t>
  </si>
  <si>
    <t>Пакет майка</t>
  </si>
  <si>
    <t>Кондитерский мешок</t>
  </si>
  <si>
    <t>Шпатель скребок кондитерский</t>
  </si>
  <si>
    <t>Садок для рыбы</t>
  </si>
  <si>
    <t>WB Сызранова 22</t>
  </si>
  <si>
    <t>Патчи против морщин</t>
  </si>
  <si>
    <t>Книга Кусочек праздника в кармане</t>
  </si>
  <si>
    <t>Танаксол форте</t>
  </si>
  <si>
    <t>Яйца фаберже матрешка</t>
  </si>
  <si>
    <t>Книга Кротик и штанишки</t>
  </si>
  <si>
    <t>Книга Кротик и зонтик</t>
  </si>
  <si>
    <t>Набор инструментов</t>
  </si>
  <si>
    <t>Коврик для йоги</t>
  </si>
  <si>
    <t>Планшет</t>
  </si>
  <si>
    <t>Средство антиплесень</t>
  </si>
  <si>
    <t>Обои</t>
  </si>
  <si>
    <t>Сироп солёная карамель</t>
  </si>
  <si>
    <t>Набор для плетения сумки</t>
  </si>
  <si>
    <t>Глазки с искоркой</t>
  </si>
  <si>
    <t>Набор Пряж велюр 3шт</t>
  </si>
  <si>
    <t>Пряжа</t>
  </si>
  <si>
    <t>Набор Пряж Чернава 2шт</t>
  </si>
  <si>
    <t>Поилка для собак</t>
  </si>
  <si>
    <t>Набор кастрюль</t>
  </si>
  <si>
    <t>Штора</t>
  </si>
  <si>
    <t>Тюль</t>
  </si>
  <si>
    <t>Комбинезон для собак</t>
  </si>
  <si>
    <t>Бумага туалетная</t>
  </si>
  <si>
    <t>Джойстик регулировки зеркал</t>
  </si>
  <si>
    <t>Пряжа Пехорка Детская 4шт</t>
  </si>
  <si>
    <t>Носики розовые</t>
  </si>
  <si>
    <t>Носики черные</t>
  </si>
  <si>
    <t>Набор Майка спортивная 3шт</t>
  </si>
  <si>
    <t>Помада для губ</t>
  </si>
  <si>
    <t>Карта памяти 64</t>
  </si>
  <si>
    <t>Джинсы корсет 30 размер</t>
  </si>
  <si>
    <t>Подвеска Лунница Лады</t>
  </si>
  <si>
    <t>Набор отверток 6шт</t>
  </si>
  <si>
    <t>Гель для ресниц</t>
  </si>
  <si>
    <t>Паяльная станция</t>
  </si>
  <si>
    <t>Lady's formula Для волос</t>
  </si>
  <si>
    <t>Вафельница</t>
  </si>
  <si>
    <t>Масло персика</t>
  </si>
  <si>
    <t>Чехол iPhone зеленый</t>
  </si>
  <si>
    <t>Чехол iPhone Серый</t>
  </si>
  <si>
    <t>Лак для ногтей</t>
  </si>
  <si>
    <t>Крем тональный телесный</t>
  </si>
  <si>
    <t>Крем тональный светлобежевый</t>
  </si>
  <si>
    <t>Пудра фиксирующая</t>
  </si>
  <si>
    <t>Матирующая пудра</t>
  </si>
  <si>
    <t>Крабики заколка металл</t>
  </si>
  <si>
    <t>Крабики заколка маленький</t>
  </si>
  <si>
    <t>Парад штор Блэкаут</t>
  </si>
  <si>
    <t>Ошейник светящийся</t>
  </si>
  <si>
    <t>Сумка для тележки</t>
  </si>
  <si>
    <t>Сумка для тележки синяя</t>
  </si>
  <si>
    <t>Калькулятор</t>
  </si>
  <si>
    <t>Пряжа Пехорка Детская 5шт</t>
  </si>
  <si>
    <t>Пряжа детская ЯрнАрт 5шт</t>
  </si>
  <si>
    <t>Тостер 650вт</t>
  </si>
  <si>
    <t>Пряжа Пехорка цвет 166</t>
  </si>
  <si>
    <t>Беспроводные наушники</t>
  </si>
  <si>
    <t>Браслет цепочка</t>
  </si>
  <si>
    <t>Стилус активный</t>
  </si>
  <si>
    <t>Наушники беспроводные</t>
  </si>
  <si>
    <t>Водолазка красная</t>
  </si>
  <si>
    <t>Водолазка черная</t>
  </si>
  <si>
    <t>Тапочки массажные</t>
  </si>
  <si>
    <t>Ежедневник датированный</t>
  </si>
  <si>
    <t>Картхолдер</t>
  </si>
  <si>
    <t>Губка массажная для ванной</t>
  </si>
  <si>
    <t>Заколка для волос</t>
  </si>
  <si>
    <t>Наклейки длля ногтей</t>
  </si>
  <si>
    <t>Брелок клевер</t>
  </si>
  <si>
    <t>Жалюзи самоклеющиеся</t>
  </si>
  <si>
    <t>Чеснок сушеный</t>
  </si>
  <si>
    <t>Открывалка для банок и бутылок</t>
  </si>
  <si>
    <t>Кюретка двухсторонняя</t>
  </si>
  <si>
    <t>Шлейка для собак</t>
  </si>
  <si>
    <t>Ультразвуковой отпугиватель</t>
  </si>
  <si>
    <t>Набор сиропов Barinoff</t>
  </si>
  <si>
    <t>Леска рыболовная</t>
  </si>
  <si>
    <t>Крысоловка</t>
  </si>
  <si>
    <t>Плата для стиральных машин</t>
  </si>
  <si>
    <t>Замок люка</t>
  </si>
  <si>
    <t>Прессостат</t>
  </si>
  <si>
    <t>Плата управления</t>
  </si>
  <si>
    <t>Тройник</t>
  </si>
  <si>
    <t>Полотенце вафельное</t>
  </si>
  <si>
    <t>Крючки слесарные</t>
  </si>
  <si>
    <t>Термоусадка</t>
  </si>
  <si>
    <t>Кабель для подключения</t>
  </si>
  <si>
    <t>Тестер автомобильных реле</t>
  </si>
  <si>
    <t>Лазерный уровень</t>
  </si>
  <si>
    <t>Книга запретная гробница</t>
  </si>
  <si>
    <t>Книга первому игроку приготовиться</t>
  </si>
  <si>
    <t>Книга царство греха</t>
  </si>
  <si>
    <t>Зонт прозрачный детский</t>
  </si>
  <si>
    <t>Платье трикотажное красное</t>
  </si>
  <si>
    <t>Платье трикотажное с лимонами</t>
  </si>
  <si>
    <t>Набо футболок с принтом 5шт</t>
  </si>
  <si>
    <t>Пижамы, одежда для дома</t>
  </si>
  <si>
    <t>Сетка москитная</t>
  </si>
  <si>
    <t>Москитная лента</t>
  </si>
  <si>
    <t>Шапочка для душа</t>
  </si>
  <si>
    <t>Наклейка интерьерная</t>
  </si>
  <si>
    <t>Блок для туалета</t>
  </si>
  <si>
    <t>Панели самоклеющиеся</t>
  </si>
  <si>
    <t>Бальзам живокост</t>
  </si>
  <si>
    <t>Миксер кухонный</t>
  </si>
  <si>
    <t>Очки для зрения 1,75</t>
  </si>
  <si>
    <t>Набор цветных карандашей</t>
  </si>
  <si>
    <t>Набор для создания украшений</t>
  </si>
  <si>
    <t>Планшет Teclast T50</t>
  </si>
  <si>
    <t>Чехол для Teclast T50 отмена</t>
  </si>
  <si>
    <t>Чехол для Teclast T50</t>
  </si>
  <si>
    <t>Клей прозрачный</t>
  </si>
  <si>
    <t>Стержни для клеевого пистолета</t>
  </si>
  <si>
    <t>Посылка</t>
  </si>
  <si>
    <t>0000203343511</t>
  </si>
  <si>
    <t>0000203342080</t>
  </si>
  <si>
    <t>1550013904</t>
  </si>
  <si>
    <t>1550903748</t>
  </si>
  <si>
    <t>Посылка СДЭК</t>
  </si>
  <si>
    <t>1550403384</t>
  </si>
  <si>
    <t>1550775407</t>
  </si>
  <si>
    <t>Набор шестигранников</t>
  </si>
  <si>
    <t>Морской коллаген</t>
  </si>
  <si>
    <t>Пластырь для похудения</t>
  </si>
  <si>
    <t>Масло оливковое</t>
  </si>
  <si>
    <t>Набо шампунь + маска</t>
  </si>
  <si>
    <t>Набор для распиновки</t>
  </si>
  <si>
    <t>Зеркало смотровое телескопическое</t>
  </si>
  <si>
    <t>Набо щеток мини</t>
  </si>
  <si>
    <t>Держатель для инструмента</t>
  </si>
  <si>
    <t>Сироп Груша</t>
  </si>
  <si>
    <t>Сироп соленая карамель для кофе</t>
  </si>
  <si>
    <t>Жидкий ключ</t>
  </si>
  <si>
    <t>Пряжа плюшевая</t>
  </si>
  <si>
    <t>Пряжа лавандовый</t>
  </si>
  <si>
    <t>Пряжа плюшевая 2шт</t>
  </si>
  <si>
    <t>Пряжа комплект 5шт</t>
  </si>
  <si>
    <t>Пленка защитная для планшета</t>
  </si>
  <si>
    <t>Кисть для румян</t>
  </si>
  <si>
    <t>Помада стойкая 10 тон</t>
  </si>
  <si>
    <t>Бронзер для лица</t>
  </si>
  <si>
    <t>Косметические повязки</t>
  </si>
  <si>
    <t>Тушь для ресниц</t>
  </si>
  <si>
    <t>Игра настольная библейская</t>
  </si>
  <si>
    <t>Палочки для мороженого</t>
  </si>
  <si>
    <t>Стикеры BQBQERT</t>
  </si>
  <si>
    <t>Есть сила благодатная</t>
  </si>
  <si>
    <t>80092796038318</t>
  </si>
  <si>
    <t>Книга Детские праздники</t>
  </si>
  <si>
    <t>80111196789443</t>
  </si>
  <si>
    <t>Книга Солнце улыбается</t>
  </si>
  <si>
    <t>AGP313787694</t>
  </si>
  <si>
    <t>Книга Пасхальные и рождественские песни</t>
  </si>
  <si>
    <t>Книга Рождественские и народные песни</t>
  </si>
  <si>
    <t>Книга Рождество Христово …</t>
  </si>
  <si>
    <t>Набор рождественских звезд</t>
  </si>
  <si>
    <t>Книга Мои милые малыши</t>
  </si>
  <si>
    <t>Книга Познаем и исследуем</t>
  </si>
  <si>
    <t>Книга Учимся вместе с Бимкой</t>
  </si>
  <si>
    <t>Книжка на елочку звездочка …</t>
  </si>
  <si>
    <t>Книжка на елочку Дед Мороз…</t>
  </si>
  <si>
    <t>Книга Время. Времена года</t>
  </si>
  <si>
    <t>Учебник Родная природа</t>
  </si>
  <si>
    <t>Наклейки интерьерные Пасхальная корзина</t>
  </si>
  <si>
    <t>Наклейки на окна Кленовые листья</t>
  </si>
  <si>
    <t>Возврат</t>
  </si>
  <si>
    <t>Карточки мини христианские</t>
  </si>
  <si>
    <t>Стикеры 3D, Наклейки</t>
  </si>
  <si>
    <t>Чехол Huawey P40 Lite</t>
  </si>
  <si>
    <t>Игра Детская спортивная</t>
  </si>
  <si>
    <t>Обложка для паспорта</t>
  </si>
  <si>
    <t>Робот пылесос</t>
  </si>
  <si>
    <t>Браслет из натуральных камней</t>
  </si>
  <si>
    <t>Пастила мята</t>
  </si>
  <si>
    <t>Пастила натуральная ассорти</t>
  </si>
  <si>
    <t>Пастила шариковая</t>
  </si>
  <si>
    <t>Кольцо женское серебро</t>
  </si>
  <si>
    <t>Кольцо с аметистом</t>
  </si>
  <si>
    <t>Ювелирное кольцо женское</t>
  </si>
  <si>
    <t>Сетка москитная на дверь</t>
  </si>
  <si>
    <t>Боди с длинным рукавом</t>
  </si>
  <si>
    <t>Катушка для спининга</t>
  </si>
  <si>
    <t>Спиннинг телескопический</t>
  </si>
  <si>
    <t>1552314478</t>
  </si>
  <si>
    <t>1553413608</t>
  </si>
  <si>
    <t>Диапроектор звуковой</t>
  </si>
  <si>
    <t>Диафильм Кот в сапогах</t>
  </si>
  <si>
    <t>Диафильм Красная шапочка</t>
  </si>
  <si>
    <t>Диафильм Теремок</t>
  </si>
  <si>
    <t>Диафильм Серая шейка</t>
  </si>
  <si>
    <t>Диафильм Мама для мамонтенка</t>
  </si>
  <si>
    <t>Диафильм Трям! Здравствуйте!</t>
  </si>
  <si>
    <t>Диафильм Колобок, Курочка Ряба</t>
  </si>
  <si>
    <t>Диафильм Зимняя сказка</t>
  </si>
  <si>
    <t>Пазл Котенок по имени ГАВ</t>
  </si>
  <si>
    <t>Куртка Futurino р158</t>
  </si>
  <si>
    <t>ТЦ Москва</t>
  </si>
  <si>
    <t>Куртка Futurino Cool р158</t>
  </si>
  <si>
    <t>Куртка Futurino р146</t>
  </si>
  <si>
    <t>Ролики детские</t>
  </si>
  <si>
    <t>0000203687057</t>
  </si>
  <si>
    <t>Кроссовки ролики 35 размер</t>
  </si>
  <si>
    <t>80512396148571</t>
  </si>
  <si>
    <t>Плюшевая пряжа набор №5</t>
  </si>
  <si>
    <t>Искусственные цветы</t>
  </si>
  <si>
    <t>Кастрюля 6,3л с крышкой</t>
  </si>
  <si>
    <t>Длинная скалка 41 см</t>
  </si>
  <si>
    <t>Пряжа плюшевая 3шт 27 ванильный крем</t>
  </si>
  <si>
    <t>Пряжа плюшевая 3шт 01 белый</t>
  </si>
  <si>
    <t>Отпариватель ручной с дисплеем BAUHAUS</t>
  </si>
  <si>
    <t>Алмазная мозаика</t>
  </si>
  <si>
    <t>Брадсы для скрапбукинга</t>
  </si>
  <si>
    <t>Набор очков</t>
  </si>
  <si>
    <t>Босоножки с завязками</t>
  </si>
  <si>
    <t>Чехол на Xiaomi Redmi 9A</t>
  </si>
  <si>
    <t>Игра поймай мяч 2 ракетки</t>
  </si>
  <si>
    <t>0000203703665</t>
  </si>
  <si>
    <t>0000203624791</t>
  </si>
  <si>
    <t>1553177469</t>
  </si>
  <si>
    <t>Ингалятор OMRON C21</t>
  </si>
  <si>
    <t>Пастила мята, кофе, корица</t>
  </si>
  <si>
    <t>Кабельный тестер</t>
  </si>
  <si>
    <t>Кабельный наконечник</t>
  </si>
  <si>
    <t>Клещи переставные</t>
  </si>
  <si>
    <t>Букет из мыла</t>
  </si>
  <si>
    <t>Полотенце махровое</t>
  </si>
  <si>
    <t>Статуэтка Ника</t>
  </si>
  <si>
    <t>Столовые приборы</t>
  </si>
  <si>
    <t>Подвеска золото красное</t>
  </si>
  <si>
    <t>Подарочный пакет</t>
  </si>
  <si>
    <t>Шубка-кофта розовый</t>
  </si>
  <si>
    <t>Шубка-кофта молочный</t>
  </si>
  <si>
    <t>Ресницы для игрушек</t>
  </si>
  <si>
    <t>Пряжа тонкая плюшевая 5шт разноцвет</t>
  </si>
  <si>
    <t>Тройник ПНД</t>
  </si>
  <si>
    <t>ПНД заглушка 40</t>
  </si>
  <si>
    <t>Поляризованные очки</t>
  </si>
  <si>
    <t>Набор нот церковных 13шт</t>
  </si>
  <si>
    <t>Наклейки "Золотая осень"</t>
  </si>
  <si>
    <t>Наклейка "Бабочки"</t>
  </si>
  <si>
    <t>Витражная пленка</t>
  </si>
  <si>
    <t>Наклейка статическая тюльпаны</t>
  </si>
  <si>
    <t>Наклейка статическая ромашки</t>
  </si>
  <si>
    <t>Наклейка статическая луговые цветы</t>
  </si>
  <si>
    <t>Наклейка статическая Луговые островки</t>
  </si>
  <si>
    <t>Наклейка статическая Кролики в траве</t>
  </si>
  <si>
    <t>Купальник раздельный р28</t>
  </si>
  <si>
    <t>Букварь 1994г.</t>
  </si>
  <si>
    <t>Набор книг 2шт.</t>
  </si>
  <si>
    <t>0000204116867</t>
  </si>
  <si>
    <t>Ксиноксин 15%</t>
  </si>
  <si>
    <t>Ксиноксин 5%</t>
  </si>
  <si>
    <t>Скакалка</t>
  </si>
  <si>
    <t>OZON Чехова 373</t>
  </si>
  <si>
    <t>Глазки для игрушек винтовые</t>
  </si>
  <si>
    <t>Глазки для игрушек блестящие</t>
  </si>
  <si>
    <t>Туалетный утенок</t>
  </si>
  <si>
    <t>Синтепух гиппоалергенный</t>
  </si>
  <si>
    <t>Ложка кулинарная</t>
  </si>
  <si>
    <t>Глазки для игрушек 8мм</t>
  </si>
  <si>
    <t>Бумажные полотенца</t>
  </si>
  <si>
    <t>Гель для душа</t>
  </si>
  <si>
    <t>Чехол Xiaomi Redmi Note 12</t>
  </si>
  <si>
    <t>WB Чехова 373</t>
  </si>
  <si>
    <t>Чехол силиконовый Infinix Note 30 Pro</t>
  </si>
  <si>
    <t>Спаше ароматическое для белья</t>
  </si>
  <si>
    <t>Духи стойкие Treselle</t>
  </si>
  <si>
    <t>Носки детские</t>
  </si>
  <si>
    <t>Ящик для хранения вещей</t>
  </si>
  <si>
    <t>Тестер утечки в цилиндрах</t>
  </si>
  <si>
    <t>Зонт от солнца</t>
  </si>
  <si>
    <t>Программатор</t>
  </si>
  <si>
    <t>Гантели</t>
  </si>
  <si>
    <t>OZON Курьрер</t>
  </si>
  <si>
    <t>EVELINE Экспресс удалитель</t>
  </si>
  <si>
    <t>Пилинг носочки</t>
  </si>
  <si>
    <t>Жалюзи самоклеющиеся серая</t>
  </si>
  <si>
    <t>Жалюзи самоклеющиеся белая</t>
  </si>
  <si>
    <t>Вешалка напольная</t>
  </si>
  <si>
    <t>Цветы искусственные декоративные</t>
  </si>
  <si>
    <t>Половник</t>
  </si>
  <si>
    <t>Пряжа детская 02</t>
  </si>
  <si>
    <t>Сахарозаменитель 1200</t>
  </si>
  <si>
    <t>Силиконовая массажная мочалка</t>
  </si>
  <si>
    <t>Носики для игрушек</t>
  </si>
  <si>
    <t>Платье для девочки 104р.</t>
  </si>
  <si>
    <t>Набор подарочный для волос</t>
  </si>
  <si>
    <t>Ободок для волос</t>
  </si>
  <si>
    <t>Заколки для волос цветные косички</t>
  </si>
  <si>
    <t>Халат домашний</t>
  </si>
  <si>
    <t>Карандаш для отбеливания зубов 2шт</t>
  </si>
  <si>
    <t>Масло от растяжек</t>
  </si>
  <si>
    <t>Подушка для беременных</t>
  </si>
  <si>
    <t>Блендер поративный</t>
  </si>
  <si>
    <t>Настольный вентилятор</t>
  </si>
  <si>
    <t>Отпариватель ручной для одежды</t>
  </si>
  <si>
    <t>Полотенце кухонное набор 3шт</t>
  </si>
  <si>
    <t>Петли функциональные</t>
  </si>
  <si>
    <t>Яндекс Чучева, 48/2</t>
  </si>
  <si>
    <t>Конструктор Гарри Потер</t>
  </si>
  <si>
    <t>Зостерин Ультра 60%</t>
  </si>
  <si>
    <t>Хлорофилл тайский порошок</t>
  </si>
  <si>
    <t>Бальзам ополаскиватель</t>
  </si>
  <si>
    <t>Гидролизат плаценты</t>
  </si>
  <si>
    <t>Культиватор ручной</t>
  </si>
  <si>
    <t>Кран стартовый 50шт</t>
  </si>
  <si>
    <t>Муфта соединительная</t>
  </si>
  <si>
    <t>Спрей лента 100м</t>
  </si>
  <si>
    <t>80088297060484</t>
  </si>
  <si>
    <t>ПочтаРФ Чехова 373</t>
  </si>
  <si>
    <t>0000204097585</t>
  </si>
  <si>
    <t>0000602799416</t>
  </si>
  <si>
    <t>10000219844</t>
  </si>
  <si>
    <t>10002750378</t>
  </si>
  <si>
    <t>СДЭК Чехова 336-в</t>
  </si>
  <si>
    <t>Рукавицы SENI</t>
  </si>
  <si>
    <t>Каша овсяная УВЕЛКА 20шт</t>
  </si>
  <si>
    <t>Крем моющий SENI CARE 3 in 1</t>
  </si>
  <si>
    <t>Коврик для ванной 3D</t>
  </si>
  <si>
    <t>Коврик для ванной массажный</t>
  </si>
  <si>
    <t>Костюм домашний</t>
  </si>
  <si>
    <t>Чехол на диван на резинке</t>
  </si>
  <si>
    <t>Полотенце банное</t>
  </si>
  <si>
    <t>Бриджи домашние</t>
  </si>
  <si>
    <t>Чехол на Xiaomi Redmi 12</t>
  </si>
  <si>
    <t>10004230642</t>
  </si>
  <si>
    <t>80512097797344</t>
  </si>
  <si>
    <t>0000204358558</t>
  </si>
  <si>
    <t>0000603154630</t>
  </si>
  <si>
    <t>Кошелек</t>
  </si>
  <si>
    <t>Вал-удлинитель фрезы</t>
  </si>
  <si>
    <t>Антимоскитный костюм</t>
  </si>
  <si>
    <t>Пленка силиконовая на подоконник</t>
  </si>
  <si>
    <t>Карниз телескопический</t>
  </si>
  <si>
    <t>Тканевая штора для ванной</t>
  </si>
  <si>
    <t>Купальник раздельный р64</t>
  </si>
  <si>
    <t>Чехол для дивана</t>
  </si>
  <si>
    <t>Пылесос вертикальный</t>
  </si>
  <si>
    <t>Паста томатная иранская</t>
  </si>
  <si>
    <t>Пряжа 1шт цвет 550 ярко-желтый</t>
  </si>
  <si>
    <t>Процессор Intel Core i5-2400</t>
  </si>
  <si>
    <t>Планшет X-PRIME A73 6/128</t>
  </si>
  <si>
    <t>Игра - магнитные куклы</t>
  </si>
  <si>
    <t>Книга для девочек 500 наклеек</t>
  </si>
  <si>
    <t>Детская косметика набор</t>
  </si>
  <si>
    <t>Ресницы накладные</t>
  </si>
  <si>
    <t>Генератор мыльных пузырей</t>
  </si>
  <si>
    <t>Наволочка 50х70 набор 2шт</t>
  </si>
  <si>
    <t>Подушка бамбук 50х70</t>
  </si>
  <si>
    <t>Раствор для мыль. пузырей 1л</t>
  </si>
  <si>
    <t>Ремешок для часов</t>
  </si>
  <si>
    <t>Чехол для планшета</t>
  </si>
  <si>
    <t>Пленка матовая X-Prime A73</t>
  </si>
  <si>
    <t>Бур садовый</t>
  </si>
  <si>
    <t>Лапа культиватора</t>
  </si>
  <si>
    <t>Пропольник-плоскорез</t>
  </si>
  <si>
    <t>Шлепанцы Forio</t>
  </si>
  <si>
    <t>Шлепанцы Smile</t>
  </si>
  <si>
    <t>Плоскорез садовый</t>
  </si>
  <si>
    <t>Корпус печки Ford mondeo IV</t>
  </si>
  <si>
    <t>Boxberry Чехова 373</t>
  </si>
  <si>
    <t>Майка для собак</t>
  </si>
  <si>
    <t>Футболка для животных</t>
  </si>
  <si>
    <t>Панама для собак</t>
  </si>
  <si>
    <t>Кеды для собак</t>
  </si>
  <si>
    <t>Жидкое мыло 1л</t>
  </si>
  <si>
    <t>Нитки капроновые</t>
  </si>
  <si>
    <t>Костюм спортивный</t>
  </si>
  <si>
    <t>Шампунь для волос</t>
  </si>
  <si>
    <t>Уничтожитель плесени</t>
  </si>
  <si>
    <t>Шампунь дегтярный</t>
  </si>
  <si>
    <t>Кюретка педикюрная</t>
  </si>
  <si>
    <t>Жиросжигатель</t>
  </si>
  <si>
    <t>Набор воина OZVерин</t>
  </si>
  <si>
    <t>10008115987</t>
  </si>
  <si>
    <t>Игрушка интерактивная собака</t>
  </si>
  <si>
    <t>Носик винтовой с заглушкой</t>
  </si>
  <si>
    <t>Глазки для игрушек 16мм</t>
  </si>
  <si>
    <t>Реснички для кукол</t>
  </si>
  <si>
    <t>Калейдоскоп синий</t>
  </si>
  <si>
    <t>Игра магнитная Одевашки Анюта</t>
  </si>
  <si>
    <t>Накладные ресницы</t>
  </si>
  <si>
    <t>LK354867392CN</t>
  </si>
  <si>
    <t>Диадема</t>
  </si>
  <si>
    <t>Очки для уточки</t>
  </si>
  <si>
    <t>Пряжа детская ассорти</t>
  </si>
  <si>
    <t>Пряжа плюшевая тонкая №3</t>
  </si>
  <si>
    <t>Холодильник автомобильный</t>
  </si>
  <si>
    <t>Колокольчик рыболовный</t>
  </si>
  <si>
    <t>Жидкость для чистки экранов</t>
  </si>
  <si>
    <t>Псиллиум</t>
  </si>
  <si>
    <t>Бесшумные часы настенные</t>
  </si>
  <si>
    <t>Пластина защитная для техники</t>
  </si>
  <si>
    <t>Мячик масажный с шипами</t>
  </si>
  <si>
    <t>Календарики карманные</t>
  </si>
  <si>
    <t>Щетка для чистки межплиточных швов</t>
  </si>
  <si>
    <t>Пряжа детская 166 суровый</t>
  </si>
  <si>
    <t>Миска для теста</t>
  </si>
  <si>
    <t>Румяна для лица</t>
  </si>
  <si>
    <t>Пряжа для вязания 4шт</t>
  </si>
  <si>
    <t>Набор крючков для вязания</t>
  </si>
  <si>
    <t>Ковер ТамиТафт 1,5х2</t>
  </si>
  <si>
    <t>Чехол для кресла компьютерного</t>
  </si>
  <si>
    <t>Чехол для кресла</t>
  </si>
  <si>
    <t>Защита для катания</t>
  </si>
  <si>
    <t>Сухое молоко</t>
  </si>
  <si>
    <t>Сливки сухие</t>
  </si>
  <si>
    <t>Внешний аккумулятор</t>
  </si>
  <si>
    <t>Powerbank 40000</t>
  </si>
  <si>
    <t>Ноутбук Б/У</t>
  </si>
  <si>
    <t>P000143805126</t>
  </si>
  <si>
    <t>5Post Чучева, 48</t>
  </si>
  <si>
    <t>Хлоровил жидкий с мятой 500</t>
  </si>
  <si>
    <t>Дневник школьный 1-4 класс</t>
  </si>
  <si>
    <t>Нотный сборник Прекрасное далеко</t>
  </si>
  <si>
    <t>Часы настольные электронные</t>
  </si>
  <si>
    <t>Переходник для автосканера</t>
  </si>
  <si>
    <t>Пряжа детская акрил 100%</t>
  </si>
  <si>
    <t>Набор посуды тарелки 3шт</t>
  </si>
  <si>
    <t>Комплект трусов 4шт</t>
  </si>
  <si>
    <t>Средство от клопов</t>
  </si>
  <si>
    <t>Наклейка на холодильник</t>
  </si>
  <si>
    <t>Наклейка на унитаз</t>
  </si>
  <si>
    <t>Ночник Морф Дота 2</t>
  </si>
  <si>
    <t>Скатерть 80*120</t>
  </si>
  <si>
    <t>Станки для бритья</t>
  </si>
  <si>
    <t>Наклейки декоративные</t>
  </si>
  <si>
    <t>Наклейки на стену детские</t>
  </si>
  <si>
    <t>Бкскаркасный диван-кровать</t>
  </si>
  <si>
    <t>Буровая станция</t>
  </si>
  <si>
    <t>ПЭК Пархоменко 22А</t>
  </si>
  <si>
    <t>Сабо на платформе</t>
  </si>
  <si>
    <t>Туника свободная рубашка</t>
  </si>
  <si>
    <t>Туника больших размеров</t>
  </si>
  <si>
    <t>Бюстгалтер</t>
  </si>
  <si>
    <t>Трусы слипы хлопок</t>
  </si>
  <si>
    <t>Рюкзак школьный</t>
  </si>
  <si>
    <t>Хлорофилл жидкий пищевой</t>
  </si>
  <si>
    <t>Кордицепс мицелий</t>
  </si>
  <si>
    <t>Ежовик гребенчатый мицелий</t>
  </si>
  <si>
    <t>Чехол на кресло</t>
  </si>
  <si>
    <t>Синтепух 1кг</t>
  </si>
  <si>
    <t>Домофон трубка</t>
  </si>
  <si>
    <t>Точилка для ножей</t>
  </si>
  <si>
    <t>Набор колец</t>
  </si>
  <si>
    <t>iPhone X 64Mb</t>
  </si>
  <si>
    <t>Отпариватель ручной</t>
  </si>
  <si>
    <t>Ночник в розетку</t>
  </si>
  <si>
    <t>Элевит витамины для женщин</t>
  </si>
  <si>
    <t>Трусы</t>
  </si>
  <si>
    <t>Шлепки резиновые</t>
  </si>
  <si>
    <t>Детский крем для сосков груди</t>
  </si>
  <si>
    <t>Вкладыши для груди</t>
  </si>
  <si>
    <t>Сиденья для унитаза 30шт</t>
  </si>
  <si>
    <t>Послеродовые прокладки</t>
  </si>
  <si>
    <t>Пенеки детские 10шт</t>
  </si>
  <si>
    <t>Трусы набор 3шт</t>
  </si>
  <si>
    <t>Сорочка для рожениц</t>
  </si>
  <si>
    <t>Бесшовный бюстгалтер</t>
  </si>
  <si>
    <t>Сумка в роддом</t>
  </si>
  <si>
    <t>Соковыжималки для цитрусовых</t>
  </si>
  <si>
    <t>Портативная игровая приставка</t>
  </si>
  <si>
    <t>Штора для ванной</t>
  </si>
  <si>
    <t>Коврик для ванной</t>
  </si>
  <si>
    <t>Карниз для ванной</t>
  </si>
  <si>
    <t>0000205542743</t>
  </si>
  <si>
    <t>0000205544621</t>
  </si>
  <si>
    <t>0000205564329</t>
  </si>
  <si>
    <t>Таганок туристический 5л</t>
  </si>
  <si>
    <t>Потолочный светильник</t>
  </si>
  <si>
    <t>Таблетки для унитаза</t>
  </si>
  <si>
    <t>Держатель для тиуалетной бумаги</t>
  </si>
  <si>
    <t>Чудо трияпуи для уборки</t>
  </si>
  <si>
    <t>Ватные палочки</t>
  </si>
  <si>
    <t>Салфетки влажные</t>
  </si>
  <si>
    <t>Коврик для ванной большой</t>
  </si>
  <si>
    <t>Набор для ванной керамический</t>
  </si>
  <si>
    <t>Пижама Сити Текс</t>
  </si>
  <si>
    <t>Умные весы</t>
  </si>
  <si>
    <t>Сумка женская</t>
  </si>
  <si>
    <t>Ткань для шитья</t>
  </si>
  <si>
    <t>Футболка поло</t>
  </si>
  <si>
    <t>Чехол для iPhone 15 Pro</t>
  </si>
  <si>
    <t>Флешка USB</t>
  </si>
  <si>
    <t>Книга Мы с дедушкой друзья</t>
  </si>
  <si>
    <t>Книга Птичкин Мы живем в гостях…</t>
  </si>
  <si>
    <t>Энциклопедия для маленьких</t>
  </si>
  <si>
    <t>29350096004884</t>
  </si>
  <si>
    <t>ПочтаДонбасса Куприна 11</t>
  </si>
  <si>
    <t>10016371290</t>
  </si>
  <si>
    <t>Диск запись</t>
  </si>
  <si>
    <t>10019642308</t>
  </si>
  <si>
    <t>10019673737</t>
  </si>
  <si>
    <t>10019677031</t>
  </si>
  <si>
    <t>0000205874645</t>
  </si>
  <si>
    <t>10019527472</t>
  </si>
  <si>
    <t>10019844754</t>
  </si>
  <si>
    <t>0000604454240</t>
  </si>
  <si>
    <t>Фен щетка для волос с вращением</t>
  </si>
  <si>
    <t>Мыло хозяйственное жидкое</t>
  </si>
  <si>
    <t>Электропривод багажника</t>
  </si>
  <si>
    <t>Пеленки одноразовые</t>
  </si>
  <si>
    <t>10020006057</t>
  </si>
  <si>
    <t>Телефон</t>
  </si>
  <si>
    <t>10021973655</t>
  </si>
  <si>
    <t>Сушилка напольная</t>
  </si>
  <si>
    <t>Шагомер</t>
  </si>
  <si>
    <t>Брелок</t>
  </si>
  <si>
    <t>Туалетный блок</t>
  </si>
  <si>
    <t>Пряжа детская №8</t>
  </si>
  <si>
    <t>Капсулы для стирки</t>
  </si>
  <si>
    <t>Краска для волос ESTEL</t>
  </si>
  <si>
    <t>Крем обезбаливающий для суставов</t>
  </si>
  <si>
    <t>Дозатор для жидкого мыла</t>
  </si>
  <si>
    <t>Пилки для ногтей</t>
  </si>
  <si>
    <t>Икра лососевая</t>
  </si>
  <si>
    <t>Краска для волос Ollin</t>
  </si>
  <si>
    <t>Лосьон после бритья</t>
  </si>
  <si>
    <t>Комплект нипельного поения для кур</t>
  </si>
  <si>
    <t>Багажник на крышу авто</t>
  </si>
  <si>
    <t>10022022311</t>
  </si>
  <si>
    <t>10022118658</t>
  </si>
  <si>
    <t>10021768476</t>
  </si>
  <si>
    <t>10022027969</t>
  </si>
  <si>
    <t>Коробка для вещей</t>
  </si>
  <si>
    <t>Шторы</t>
  </si>
  <si>
    <t>Стеллажные коробки</t>
  </si>
  <si>
    <t>Тюль сетка</t>
  </si>
  <si>
    <t>Ножницы</t>
  </si>
  <si>
    <t>Плед</t>
  </si>
  <si>
    <t>Стол письменный</t>
  </si>
  <si>
    <t>Компрессионные колготки</t>
  </si>
  <si>
    <t>Трусы боксеры</t>
  </si>
  <si>
    <t>10022495421</t>
  </si>
  <si>
    <t>10022850087</t>
  </si>
  <si>
    <t>10023288130</t>
  </si>
  <si>
    <t>10020892818</t>
  </si>
  <si>
    <t>Пульт для телевизора</t>
  </si>
  <si>
    <t>Набор гиалуроновый крем</t>
  </si>
  <si>
    <t>10023414837</t>
  </si>
  <si>
    <t>10024023579</t>
  </si>
  <si>
    <t>Блузка SFO</t>
  </si>
  <si>
    <t>Рубашка Qianzhidu</t>
  </si>
  <si>
    <t>Рубашка FELLA</t>
  </si>
  <si>
    <t>Дождевик детский</t>
  </si>
  <si>
    <t>Набор гель для стирки</t>
  </si>
  <si>
    <t>Органайзер для белья</t>
  </si>
  <si>
    <t>Платье в садик</t>
  </si>
  <si>
    <t>Паста чистящая Pink Clam</t>
  </si>
  <si>
    <t>Наклейки на стену</t>
  </si>
  <si>
    <t>Органайзер для пакетов</t>
  </si>
  <si>
    <t>10024949051</t>
  </si>
  <si>
    <t>10024203136</t>
  </si>
  <si>
    <t>Наклейка для ногтей осень листья</t>
  </si>
  <si>
    <t>Наклейка для ногтей цветы лето</t>
  </si>
  <si>
    <t>Наклейка для ногтей цветы листья</t>
  </si>
  <si>
    <t>Наклейка для ногтей водные цветы стразы</t>
  </si>
  <si>
    <t>Наклейка для ногтей LAQUE STIKERS</t>
  </si>
  <si>
    <t>Наклейка для ногтей водные цветы лето</t>
  </si>
  <si>
    <t>Фартук для кухни</t>
  </si>
  <si>
    <t>Крючки для штор</t>
  </si>
  <si>
    <t>Обои моющиеся виниловые</t>
  </si>
  <si>
    <t>Термос 2л</t>
  </si>
  <si>
    <t>Краснофлотская 132</t>
  </si>
  <si>
    <t>47.0917, 37.4968</t>
  </si>
  <si>
    <t>Сумка мессенджер</t>
  </si>
  <si>
    <t>Чехол для iPhone 11 Pro макс</t>
  </si>
  <si>
    <t>Чехол для iPhone 11 Pro</t>
  </si>
  <si>
    <t>Часы наручные Кварцевые</t>
  </si>
  <si>
    <t>Владимир Зайцев</t>
  </si>
  <si>
    <t>Мочеприемник</t>
  </si>
  <si>
    <t>+79497090163</t>
  </si>
  <si>
    <t>Фотоальбом</t>
  </si>
  <si>
    <t>Набор книг Учимся читать</t>
  </si>
  <si>
    <t>Букварь и прописи</t>
  </si>
  <si>
    <t>Избранные обработки народных песен</t>
  </si>
  <si>
    <t>10026468500</t>
  </si>
  <si>
    <t>10026567842</t>
  </si>
  <si>
    <t>10026803989</t>
  </si>
  <si>
    <t>Мокасины</t>
  </si>
  <si>
    <t>Жилет</t>
  </si>
  <si>
    <t>Пятновыводитель спрей</t>
  </si>
  <si>
    <t>Резинка для рукоделия</t>
  </si>
  <si>
    <t>Бальзам для волос</t>
  </si>
  <si>
    <t>Крем лечебный заживляющий</t>
  </si>
  <si>
    <t>Напяточники силиконовые</t>
  </si>
  <si>
    <t>Напяточники силиконовые 2шт</t>
  </si>
  <si>
    <t>Мыльница</t>
  </si>
  <si>
    <t>Мыльница керамическая</t>
  </si>
  <si>
    <t>Мыльница для ванной</t>
  </si>
  <si>
    <t>Губки для посуды</t>
  </si>
  <si>
    <t>10027911739</t>
  </si>
  <si>
    <t>Наталья Молокозавод</t>
  </si>
  <si>
    <t>Свободы 7</t>
  </si>
  <si>
    <t>47.1184, 37.5442</t>
  </si>
  <si>
    <t>+79497083587</t>
  </si>
  <si>
    <t>Евгения Охотник</t>
  </si>
  <si>
    <t>+79497263506</t>
  </si>
  <si>
    <t>Серг</t>
  </si>
  <si>
    <t>+79498362080</t>
  </si>
  <si>
    <t>Лазурная 1</t>
  </si>
  <si>
    <t>47.0965, 37.6638</t>
  </si>
  <si>
    <t>Евгений Васильев</t>
  </si>
  <si>
    <t>+79495654131</t>
  </si>
  <si>
    <t>Таганрогская 40а</t>
  </si>
  <si>
    <t>47.1246, 37.6566</t>
  </si>
  <si>
    <t>Светлана Шота 18</t>
  </si>
  <si>
    <t>Шота 18</t>
  </si>
  <si>
    <t>+79497251443</t>
  </si>
  <si>
    <t>47.1194, 37.5396</t>
  </si>
  <si>
    <t>Жанна Наташина</t>
  </si>
  <si>
    <t>Зелинского 98а</t>
  </si>
  <si>
    <t>47.1022, 37.5165</t>
  </si>
  <si>
    <t>+79495529124</t>
  </si>
  <si>
    <t>Аэродромная 4</t>
  </si>
  <si>
    <t>47.1087, 37.5254</t>
  </si>
  <si>
    <t>61260091385122</t>
  </si>
  <si>
    <t>Терка овощерезка</t>
  </si>
  <si>
    <t>Коврики для холодильника</t>
  </si>
  <si>
    <t>Сковорода антипригарная</t>
  </si>
  <si>
    <t>Парфюмированный гель</t>
  </si>
  <si>
    <t>Терка для ног</t>
  </si>
  <si>
    <t>Шампунь Dove</t>
  </si>
  <si>
    <t>Брюки черные</t>
  </si>
  <si>
    <t>Галстук</t>
  </si>
  <si>
    <t>Подарочный набор</t>
  </si>
  <si>
    <t>Набор серебро 925 серьги</t>
  </si>
  <si>
    <t>Набор подарочный женский</t>
  </si>
  <si>
    <t>Подарок живая роза</t>
  </si>
  <si>
    <t>Домашняя пижама</t>
  </si>
  <si>
    <t>Куртка джинсовая</t>
  </si>
  <si>
    <t>Стол обеденный</t>
  </si>
  <si>
    <t>Стол журнальный</t>
  </si>
  <si>
    <t>10028441125</t>
  </si>
  <si>
    <t>10028574238</t>
  </si>
  <si>
    <t>10029133477</t>
  </si>
  <si>
    <t>10029154288</t>
  </si>
  <si>
    <t>10029155922</t>
  </si>
  <si>
    <t>80110499569004</t>
  </si>
  <si>
    <t>Данил Шевченко</t>
  </si>
  <si>
    <t>+79495529137</t>
  </si>
  <si>
    <t>Ремкомплект ограничителей</t>
  </si>
  <si>
    <t>Ручка КПП Ford Focus 5 ступ.</t>
  </si>
  <si>
    <t>Ручка КПП Mazda BK BL</t>
  </si>
  <si>
    <t>+79497095528</t>
  </si>
  <si>
    <t>Людмила Кордицепс</t>
  </si>
  <si>
    <t>9 Авиадивизии 28</t>
  </si>
  <si>
    <t>47.1235, 37.5191</t>
  </si>
  <si>
    <t>Наталья Сергеевна</t>
  </si>
  <si>
    <t>Ленина 63/2</t>
  </si>
  <si>
    <t>+79497369642</t>
  </si>
  <si>
    <t>47.0971, 37.5481</t>
  </si>
  <si>
    <t>Гранитная 138</t>
  </si>
  <si>
    <t>47.1260, 37.5132</t>
  </si>
  <si>
    <t>Валерий Фагот</t>
  </si>
  <si>
    <t>Елена Индол</t>
  </si>
  <si>
    <t>+79497177018</t>
  </si>
  <si>
    <t>Троицка 75, Рынок Юмовила</t>
  </si>
  <si>
    <t>47.1121, 37.5156</t>
  </si>
  <si>
    <t>+79497196221</t>
  </si>
  <si>
    <t>Елена Трансфер</t>
  </si>
  <si>
    <t>Шевченко 317 Графия</t>
  </si>
  <si>
    <t>47.1179, 37.5163</t>
  </si>
  <si>
    <t>+79497288148</t>
  </si>
  <si>
    <t>Пряжа сиреневый меланж</t>
  </si>
  <si>
    <t>Ножницы перекусы</t>
  </si>
  <si>
    <t>Постельное белье</t>
  </si>
  <si>
    <t>Нить капроновая</t>
  </si>
  <si>
    <t>Шампунь и гель для волос</t>
  </si>
  <si>
    <t>Переходная рамка Daewoo Matiz</t>
  </si>
  <si>
    <t>Мышь А4 X89</t>
  </si>
  <si>
    <t>Наклейка для ногтей</t>
  </si>
  <si>
    <t>Сумка тактическая</t>
  </si>
  <si>
    <t>47.1846, 37.5596</t>
  </si>
  <si>
    <t>Гантели хром 30кг</t>
  </si>
  <si>
    <t>Мяч баскетбольный №6</t>
  </si>
  <si>
    <t>Кольцо баскетбольное 45см</t>
  </si>
  <si>
    <t>Аюр Гармаев Мирный</t>
  </si>
  <si>
    <t>Мирный электростанция</t>
  </si>
  <si>
    <t>10030013400</t>
  </si>
  <si>
    <t>10030266432</t>
  </si>
  <si>
    <t>10030283493</t>
  </si>
  <si>
    <t>10030461545</t>
  </si>
  <si>
    <t>10030731111</t>
  </si>
  <si>
    <t>10030733260</t>
  </si>
  <si>
    <t>10030954209</t>
  </si>
  <si>
    <t>10031356741</t>
  </si>
  <si>
    <t>10031396212</t>
  </si>
  <si>
    <t>10031404731</t>
  </si>
  <si>
    <t>80110601923410</t>
  </si>
  <si>
    <t>80512701935643</t>
  </si>
  <si>
    <t>Ручки для кондиционера</t>
  </si>
  <si>
    <t>Кожух для Mazda</t>
  </si>
  <si>
    <t>Ручка для Mazda</t>
  </si>
  <si>
    <t>Мультиметр</t>
  </si>
  <si>
    <t>Кабелерез ручной</t>
  </si>
  <si>
    <t>Михаил Куприна</t>
  </si>
  <si>
    <t>+79497178586</t>
  </si>
  <si>
    <t>Куприна 51</t>
  </si>
  <si>
    <t>47.1094, 37.5104</t>
  </si>
  <si>
    <t>10031673435</t>
  </si>
  <si>
    <t>Лавицкого 20</t>
  </si>
  <si>
    <t>Анна Лавицкого</t>
  </si>
  <si>
    <t>47.0877, 37.5175</t>
  </si>
  <si>
    <t>Ленина 183 подъезд 1 (Изумрудный)</t>
  </si>
  <si>
    <t>Кондиционер для белья</t>
  </si>
  <si>
    <t>Пакет для хранения продуктов</t>
  </si>
  <si>
    <t>Томатная паста</t>
  </si>
  <si>
    <t>мазь для суставов</t>
  </si>
  <si>
    <t>Валентин Елена</t>
  </si>
  <si>
    <t>+79498018213, +79498018178</t>
  </si>
  <si>
    <t>Мамина Сибиряка, 16</t>
  </si>
  <si>
    <t>47.1496, 37.6041</t>
  </si>
  <si>
    <t>Очки VR с джойстиком</t>
  </si>
  <si>
    <t>Елена Гайдар</t>
  </si>
  <si>
    <t>Салфетки влажные Клубника</t>
  </si>
  <si>
    <t>Семена чиа для похудения</t>
  </si>
  <si>
    <t>Закваска для йогурта</t>
  </si>
  <si>
    <t>Шампунь для собак</t>
  </si>
  <si>
    <t>Салфетки для уборки</t>
  </si>
  <si>
    <t>Игрушка утка для собак</t>
  </si>
  <si>
    <t>Даня Краснофлотская</t>
  </si>
  <si>
    <t>+79498025966</t>
  </si>
  <si>
    <t>Демократическая, 27</t>
  </si>
  <si>
    <t>47.0730, 37.4997</t>
  </si>
  <si>
    <t>47.0990, 37.6424</t>
  </si>
  <si>
    <t>10032706281</t>
  </si>
  <si>
    <t>10033343270</t>
  </si>
  <si>
    <t>Мелатонин + Магний</t>
  </si>
  <si>
    <t>Dior Sauvage 100мл</t>
  </si>
  <si>
    <t>Цинк пиколинат</t>
  </si>
  <si>
    <t>Креатин моногидрат</t>
  </si>
  <si>
    <t>+79494015912</t>
  </si>
  <si>
    <t>Куприна 17</t>
  </si>
  <si>
    <t>47.1034, 37.5110</t>
  </si>
  <si>
    <t>Кирилл Куприна</t>
  </si>
  <si>
    <t>Очки для зрения +0,5</t>
  </si>
  <si>
    <t>Очки для зрения +2,5</t>
  </si>
  <si>
    <t>Гель для стирки Персил</t>
  </si>
  <si>
    <t>Нитевдеватель</t>
  </si>
  <si>
    <t>Книга Снежная долина</t>
  </si>
  <si>
    <t>Книга Веселый зоопарк</t>
  </si>
  <si>
    <t>Игрушка Олень</t>
  </si>
  <si>
    <t>Прописи многоразовые</t>
  </si>
  <si>
    <t>Фиточай Татарник</t>
  </si>
  <si>
    <t>Погремушка для новорожденных</t>
  </si>
  <si>
    <t>Книга Энциклопедия добрых дел</t>
  </si>
  <si>
    <t>Книга Энциклопедия хорошего поведения</t>
  </si>
  <si>
    <t>Книга Котята и кошки</t>
  </si>
  <si>
    <t>Книга Светозарное</t>
  </si>
  <si>
    <t>Книга Мурзилка</t>
  </si>
  <si>
    <t>Маркеры для доски</t>
  </si>
  <si>
    <t>Книга Зайчик Сева</t>
  </si>
  <si>
    <t>Книга Энциклопедия Красная Книга</t>
  </si>
  <si>
    <t>Книга Времена года</t>
  </si>
  <si>
    <t>Книга Математика</t>
  </si>
  <si>
    <t>Книга Английский в картинках</t>
  </si>
  <si>
    <t>Книги картины из пластилинап</t>
  </si>
  <si>
    <t>Книга Посмотри и раскрась</t>
  </si>
  <si>
    <t>Гинкго Билоба</t>
  </si>
  <si>
    <t>Плеер Азбукварик</t>
  </si>
  <si>
    <t>Книга Английский для малышей</t>
  </si>
  <si>
    <t>Книга Учим Английский с мамой</t>
  </si>
  <si>
    <t>Книга Хвостатая азбука</t>
  </si>
  <si>
    <t>Книга Арифметика Сложение</t>
  </si>
  <si>
    <t>Книга Арифметика Вычитание</t>
  </si>
  <si>
    <t>Labirint</t>
  </si>
  <si>
    <t>Ингалятор портативный</t>
  </si>
  <si>
    <t>97995535</t>
  </si>
  <si>
    <t>Книга Ваша жизнь это моя жизнь</t>
  </si>
  <si>
    <t>Lampada.su</t>
  </si>
  <si>
    <t>Книга От улыбки станет всем светлей</t>
  </si>
  <si>
    <t>Книга Зайчик Сева делится с друзьями</t>
  </si>
  <si>
    <t>Книга Зайчик Сева едет к бабушке</t>
  </si>
  <si>
    <t>Книга Зайчик Сева обиделся</t>
  </si>
  <si>
    <t>Книга Зайчик Сева не любит чистить зубы</t>
  </si>
  <si>
    <t>Лопатка кухонная универсальная</t>
  </si>
  <si>
    <t>Таз складной 5л</t>
  </si>
  <si>
    <t>Часы настенные</t>
  </si>
  <si>
    <t>Ведро мусорное</t>
  </si>
  <si>
    <t>Крючки вешалка 10шт</t>
  </si>
  <si>
    <t>Пижама домашняя</t>
  </si>
  <si>
    <t>Смесь семян для салатов</t>
  </si>
  <si>
    <t>Набор серьги, кольца</t>
  </si>
  <si>
    <t>Органайзер универсальный для косметики</t>
  </si>
  <si>
    <t>Терка для овощей</t>
  </si>
  <si>
    <t>Кошелек для денег</t>
  </si>
  <si>
    <t>Набор полотенец из микрофибры</t>
  </si>
  <si>
    <t>Маски для лица тканевые</t>
  </si>
  <si>
    <t>Набор полотенец вафельных</t>
  </si>
  <si>
    <t>Полка подвесная на липучках</t>
  </si>
  <si>
    <t>+79494631318</t>
  </si>
  <si>
    <t>Алена Зелинского</t>
  </si>
  <si>
    <t>Зелинского 69</t>
  </si>
  <si>
    <t>Ирина 13 МКР</t>
  </si>
  <si>
    <t>+79496433686</t>
  </si>
  <si>
    <t>47.1043, 37.5188</t>
  </si>
  <si>
    <t>Порошок стиральный Ариель</t>
  </si>
  <si>
    <t>Футболка белая</t>
  </si>
  <si>
    <t>Мягкая игрушка Мопс</t>
  </si>
  <si>
    <t>Кольца бижутерия</t>
  </si>
  <si>
    <t>Нож складной</t>
  </si>
  <si>
    <t>Татьяна Дьяченко</t>
  </si>
  <si>
    <t>+79497084226</t>
  </si>
  <si>
    <t>Халтурина 93</t>
  </si>
  <si>
    <t>47.1148, 37.5300</t>
  </si>
  <si>
    <t>Вера Надеждына</t>
  </si>
  <si>
    <t>+79497169849</t>
  </si>
  <si>
    <t>47.1122, 37.5146</t>
  </si>
  <si>
    <t>17 рынок Грация</t>
  </si>
  <si>
    <t>Полотенца кухонные</t>
  </si>
  <si>
    <t>Расческа для новорожденных</t>
  </si>
  <si>
    <t>Ножницы детские</t>
  </si>
  <si>
    <t>Гамак для купания новорожденных</t>
  </si>
  <si>
    <t>Футляр для соски</t>
  </si>
  <si>
    <t>Бутылочка антиколиковая</t>
  </si>
  <si>
    <t>Плед для новорожденных</t>
  </si>
  <si>
    <t>Наматрасник детский</t>
  </si>
  <si>
    <t>Нано терка для ног</t>
  </si>
  <si>
    <t>Массажер для ног</t>
  </si>
  <si>
    <t>Массажер для спины</t>
  </si>
  <si>
    <t>Сыворотка для лица</t>
  </si>
  <si>
    <t>Маска увлажняющая ночная</t>
  </si>
  <si>
    <t>Маска глиняная для лица</t>
  </si>
  <si>
    <t>Духи CHANEL</t>
  </si>
  <si>
    <t>Одежда для собак</t>
  </si>
  <si>
    <t>Крем от прыщей</t>
  </si>
  <si>
    <t>10035749674</t>
  </si>
  <si>
    <t>10035857072</t>
  </si>
  <si>
    <t>10036130545</t>
  </si>
  <si>
    <t>10036509553</t>
  </si>
  <si>
    <t>10036746823</t>
  </si>
  <si>
    <t>10037952691</t>
  </si>
  <si>
    <t>10038486847</t>
  </si>
  <si>
    <t>10038791333</t>
  </si>
  <si>
    <t>10038890368</t>
  </si>
  <si>
    <t>Соколовский Е. И.</t>
  </si>
  <si>
    <t>+79110356721</t>
  </si>
  <si>
    <t>посылка</t>
  </si>
  <si>
    <t>Наталья Лунина 13</t>
  </si>
  <si>
    <t>Лунина 13а</t>
  </si>
  <si>
    <t>+79493770183</t>
  </si>
  <si>
    <t>47.0682, 37.5102</t>
  </si>
  <si>
    <t>Алина Азовстальская</t>
  </si>
  <si>
    <t>+79498437061</t>
  </si>
  <si>
    <t>Азовстальская 93 подъезд 1</t>
  </si>
  <si>
    <t>47.1001, 37.6539</t>
  </si>
  <si>
    <t>Стакан светящийся</t>
  </si>
  <si>
    <t>Кукла для девочек</t>
  </si>
  <si>
    <t>Пассата 350г</t>
  </si>
  <si>
    <t>Набор молоко сгущенное</t>
  </si>
  <si>
    <t>Набор сквиши 10шт</t>
  </si>
  <si>
    <t>Кружка керамическая именная</t>
  </si>
  <si>
    <t>Средство для мытья посуды</t>
  </si>
  <si>
    <t>Стул складной</t>
  </si>
  <si>
    <t>Термокружка</t>
  </si>
  <si>
    <t>Александр экскаваторщик</t>
  </si>
  <si>
    <t>+79786814650</t>
  </si>
  <si>
    <t>Чехол для ножа</t>
  </si>
  <si>
    <t>Нано коврик для сушки посуды</t>
  </si>
  <si>
    <t>Набор носки 10 пар</t>
  </si>
  <si>
    <t>Средство для унитаза</t>
  </si>
  <si>
    <t>Носки теплые 3 пары</t>
  </si>
  <si>
    <t>Набо расчесок</t>
  </si>
  <si>
    <t>Жидкое гибкое стекло</t>
  </si>
  <si>
    <t>Духи масляный Императрица</t>
  </si>
  <si>
    <t>Паста чистящая для посуды</t>
  </si>
  <si>
    <t>Тушь Ленинградская 2шт</t>
  </si>
  <si>
    <t>Табурет ступенька детская</t>
  </si>
  <si>
    <t>Краска для волос</t>
  </si>
  <si>
    <t>Спрей для волос</t>
  </si>
  <si>
    <t>Томаты вяленые в масле</t>
  </si>
  <si>
    <t>Комплект трусов 5шт</t>
  </si>
  <si>
    <t>Наклейки интерьерные на стену</t>
  </si>
  <si>
    <t>ё</t>
  </si>
  <si>
    <t>Пушка тепловая</t>
  </si>
  <si>
    <t>10040437795</t>
  </si>
  <si>
    <t>Обувь для собак</t>
  </si>
  <si>
    <t>Поглотитель запаха для холодильника</t>
  </si>
  <si>
    <t>Костюм для собак</t>
  </si>
  <si>
    <t>Лента самоклеющаяся Липучка</t>
  </si>
  <si>
    <t>Игрушка для собак</t>
  </si>
  <si>
    <t>Мира 48</t>
  </si>
  <si>
    <t>47.0946, 37.5506</t>
  </si>
  <si>
    <t>Металлургов 143</t>
  </si>
  <si>
    <t>47.1199, 37.5643</t>
  </si>
  <si>
    <t>Сумка для инструмента</t>
  </si>
  <si>
    <t>Клеммы обжимные 1300шт</t>
  </si>
  <si>
    <t>Клеммы обжимные 678шт</t>
  </si>
  <si>
    <t>Плоскогубцы индикатор</t>
  </si>
  <si>
    <t>Набор отверток</t>
  </si>
  <si>
    <t>Промсвязьбанк или Т-Банк</t>
  </si>
  <si>
    <t>Расческа для волос</t>
  </si>
  <si>
    <t>Корзина для хранения пакетов</t>
  </si>
  <si>
    <t>Кружка с двойными стенками</t>
  </si>
  <si>
    <t>Нитки капроновые 1+1</t>
  </si>
  <si>
    <t>Набор клей Момент 2шт</t>
  </si>
  <si>
    <t>Корм сухой для собак</t>
  </si>
  <si>
    <t>Пряжа для вязания10шт</t>
  </si>
  <si>
    <t>Салатник керамический</t>
  </si>
  <si>
    <t>Конструктор для девочек</t>
  </si>
  <si>
    <t>Кофе Jacobs Moarch 500г</t>
  </si>
  <si>
    <t>Набор Носки капроновые 20шт</t>
  </si>
  <si>
    <t>Средство для мытья посуды 5л</t>
  </si>
  <si>
    <t>Антиперспирант</t>
  </si>
  <si>
    <t>Термостат комнатный</t>
  </si>
  <si>
    <t>Складной нож электрика</t>
  </si>
  <si>
    <t>Худи</t>
  </si>
  <si>
    <t>Брюки спортивные</t>
  </si>
  <si>
    <t>Набор Воскоплав баночный</t>
  </si>
  <si>
    <t>Футболка брендовая мужская</t>
  </si>
  <si>
    <t>Футболка оверсайз</t>
  </si>
  <si>
    <t>Масло муравьиное</t>
  </si>
  <si>
    <t>Ароматизаор Сандал</t>
  </si>
  <si>
    <t>Ароматизаор Амбра</t>
  </si>
  <si>
    <t>Ароматизаор Шафран</t>
  </si>
  <si>
    <t>Лента бордюрная для ванны</t>
  </si>
  <si>
    <t>Капсулы для стирки 100шт</t>
  </si>
  <si>
    <t>Капсулы для стирки 5в1</t>
  </si>
  <si>
    <t>Глутамат натрия</t>
  </si>
  <si>
    <t>Прописи маркером</t>
  </si>
  <si>
    <t>Антизасор</t>
  </si>
  <si>
    <t>Перец черный горошек</t>
  </si>
  <si>
    <t>Зажимы для шнурков</t>
  </si>
  <si>
    <t>Мочалка для душа</t>
  </si>
  <si>
    <t>Одеяло 1,5 спальное</t>
  </si>
  <si>
    <t>Духи масляные</t>
  </si>
  <si>
    <t>Органайзер для носков</t>
  </si>
  <si>
    <t>Collagen</t>
  </si>
  <si>
    <t>Таблетки для набора веса</t>
  </si>
  <si>
    <t>Кирил Креатин</t>
  </si>
  <si>
    <t>+79497336592</t>
  </si>
  <si>
    <t>Татьяна маг Лидия</t>
  </si>
  <si>
    <t>+79497253811</t>
  </si>
  <si>
    <t>Ленина 91</t>
  </si>
  <si>
    <t>47.0992, 37.5338</t>
  </si>
  <si>
    <t>Светлана Стамбул</t>
  </si>
  <si>
    <t>+79496299684</t>
  </si>
  <si>
    <t>Шевченко 313</t>
  </si>
  <si>
    <t>47.1174, 37.5172</t>
  </si>
  <si>
    <t>Сапоги для собак</t>
  </si>
  <si>
    <t>Мусс-пенка для умывания</t>
  </si>
  <si>
    <t>Ароматизаор для дома 3шт</t>
  </si>
  <si>
    <t>Крышка SRS airbag</t>
  </si>
  <si>
    <t>10044866248</t>
  </si>
  <si>
    <t>Трость тактильная</t>
  </si>
  <si>
    <t>Часы говорящие</t>
  </si>
  <si>
    <t>Мяч массажный</t>
  </si>
  <si>
    <t>Сторож для кипячения молока</t>
  </si>
  <si>
    <t>Тонометр на запястье</t>
  </si>
  <si>
    <t>Гель для стирки 5л</t>
  </si>
  <si>
    <t>Ручка для пакетов, сумок</t>
  </si>
  <si>
    <t>Браслет</t>
  </si>
  <si>
    <t>Сумка рыболовная</t>
  </si>
  <si>
    <t>Термос зеленый</t>
  </si>
  <si>
    <t>Календарь перекидной настольный</t>
  </si>
  <si>
    <t>Зажим для штор</t>
  </si>
  <si>
    <t>Штаны спортивные</t>
  </si>
  <si>
    <t>Набор трусы 6шт</t>
  </si>
  <si>
    <t>Навесная кормушка</t>
  </si>
  <si>
    <t>Часы настенные круглые</t>
  </si>
  <si>
    <t>Часы настенные интерьерные</t>
  </si>
  <si>
    <t>Сувенир свиток</t>
  </si>
  <si>
    <t>Блокнот в клетку А5</t>
  </si>
  <si>
    <t>Фонарь задний левый</t>
  </si>
  <si>
    <t>Фонарь задний правый</t>
  </si>
  <si>
    <t>Месяц</t>
  </si>
  <si>
    <t>Булавки на круге</t>
  </si>
  <si>
    <t>Мыло хозяйственное</t>
  </si>
  <si>
    <t>Пряжа плюшевая 3шт</t>
  </si>
  <si>
    <t>Томаты в собственном соку</t>
  </si>
  <si>
    <t>Елена от Светланы</t>
  </si>
  <si>
    <t>Сироп Бронхосип</t>
  </si>
  <si>
    <t>Сетевой фильтр</t>
  </si>
  <si>
    <t>Фонарь LED кемпинговый</t>
  </si>
  <si>
    <t>+79497237937</t>
  </si>
  <si>
    <t>Сеченова 96 подъезд 1</t>
  </si>
  <si>
    <t>Металлургов 171</t>
  </si>
  <si>
    <t>Фотоштора арка</t>
  </si>
  <si>
    <t>10043489963</t>
  </si>
  <si>
    <t>10043881553</t>
  </si>
  <si>
    <t>10046029325</t>
  </si>
  <si>
    <t>10046252894</t>
  </si>
  <si>
    <t>47.1242, 37.5652</t>
  </si>
  <si>
    <t>Паяльник</t>
  </si>
  <si>
    <t>Набор паяльный</t>
  </si>
  <si>
    <t>Мультиметр цифровой</t>
  </si>
  <si>
    <t>Тестер кабельный, трассоискатель</t>
  </si>
  <si>
    <t>Ответвитель прокалывающий</t>
  </si>
  <si>
    <t>Термоусадка с припоем</t>
  </si>
  <si>
    <t>Маркер строительный</t>
  </si>
  <si>
    <t>Пассатижи</t>
  </si>
  <si>
    <t>Шпонка</t>
  </si>
  <si>
    <t>Тройник пластиковый</t>
  </si>
  <si>
    <t>P000186683170</t>
  </si>
  <si>
    <t>Валентина от Светланы</t>
  </si>
  <si>
    <t>+79497273525</t>
  </si>
  <si>
    <t>Обои бумажные</t>
  </si>
  <si>
    <t>Обои бумажные лира фон</t>
  </si>
  <si>
    <t>Клей обойный</t>
  </si>
  <si>
    <t>Клей полимерный</t>
  </si>
  <si>
    <t>Кисть малярная пластиковая</t>
  </si>
  <si>
    <t>Кисть малярная стандарт</t>
  </si>
  <si>
    <t>Бордюр для обоев</t>
  </si>
  <si>
    <t xml:space="preserve">Лента бордюрная </t>
  </si>
  <si>
    <t>Кольца для штор в ванную</t>
  </si>
  <si>
    <t>Оля Пашина сестра</t>
  </si>
  <si>
    <t>+79497230972</t>
  </si>
  <si>
    <t>Книга Волшебник изумрудного города</t>
  </si>
  <si>
    <t>Зажигалка</t>
  </si>
  <si>
    <t>Мультитул</t>
  </si>
  <si>
    <t>Фонарь карманный</t>
  </si>
  <si>
    <t>Набор для перформатора</t>
  </si>
  <si>
    <t>Насадка сабельной пилы</t>
  </si>
  <si>
    <t>Дрель шуруповерт</t>
  </si>
  <si>
    <t>10042370478</t>
  </si>
  <si>
    <t>Елена сахар</t>
  </si>
  <si>
    <t>Киевская 37</t>
  </si>
  <si>
    <t>47.1225, 37.6861</t>
  </si>
  <si>
    <t>10047784103</t>
  </si>
  <si>
    <t>10047154582</t>
  </si>
  <si>
    <t>10047241359</t>
  </si>
  <si>
    <t>Комплект постельного белья</t>
  </si>
  <si>
    <t>Лежанка для собак</t>
  </si>
  <si>
    <t>47.1263, 37.5623</t>
  </si>
  <si>
    <t>Ольга Мелованова</t>
  </si>
  <si>
    <t>+79490023562</t>
  </si>
  <si>
    <t>Ленина 46/54</t>
  </si>
  <si>
    <t>47.0947, 37.5488</t>
  </si>
  <si>
    <t>Металлургов 199</t>
  </si>
  <si>
    <t>47.1286, 37.5670</t>
  </si>
  <si>
    <t>Виктория Порт Сити</t>
  </si>
  <si>
    <t>+79497271852</t>
  </si>
  <si>
    <t>47.1176, 37.5083</t>
  </si>
  <si>
    <t>Запорожское шоссе 2</t>
  </si>
  <si>
    <t>Металлургов 169</t>
  </si>
  <si>
    <t>47.1244, 37.5643</t>
  </si>
  <si>
    <t>Лакомство для собак</t>
  </si>
  <si>
    <t>Сливки для крема</t>
  </si>
  <si>
    <t>Синтешар 2кг</t>
  </si>
  <si>
    <t>Дутики</t>
  </si>
  <si>
    <t>Ботинки</t>
  </si>
  <si>
    <t>Ботинки CREANOVA</t>
  </si>
  <si>
    <t>Тени для макияжа</t>
  </si>
  <si>
    <t>Коврик для сушки посуды</t>
  </si>
  <si>
    <t>Кисти для макияжа</t>
  </si>
  <si>
    <t>Детские носки махровые</t>
  </si>
  <si>
    <t>Почтовый ящик с замком</t>
  </si>
  <si>
    <t>Ограничитель открывания окон</t>
  </si>
  <si>
    <t>Звонок дверной беспроводной</t>
  </si>
  <si>
    <t>Орхидея искусственная</t>
  </si>
  <si>
    <t>Диффузор для дома 100мл</t>
  </si>
  <si>
    <t>Диффузор для дома 50мл</t>
  </si>
  <si>
    <t>Диффузор для дома Ваниль</t>
  </si>
  <si>
    <t>Купальник гимнастический</t>
  </si>
  <si>
    <t>Орехи гинкго</t>
  </si>
  <si>
    <t>Азбукварик</t>
  </si>
  <si>
    <t>Карапузов</t>
  </si>
  <si>
    <t>Органайзер для вещей</t>
  </si>
  <si>
    <t>Книга Если б я слоненком был</t>
  </si>
  <si>
    <t>Книга Играть легко</t>
  </si>
  <si>
    <t>Книга Веселая музыкальная грамота</t>
  </si>
  <si>
    <t>Книга Нотная азбука</t>
  </si>
  <si>
    <t>Шапка женская</t>
  </si>
  <si>
    <t>Комбинезон для новорожденных</t>
  </si>
  <si>
    <t>Газоотводная трубка</t>
  </si>
  <si>
    <t>Парфюм KIRKE</t>
  </si>
  <si>
    <t>Мобиль в кроватку для новорожденных</t>
  </si>
  <si>
    <t>Бутылочка для кормления новорожденных</t>
  </si>
  <si>
    <t>Масло для губ блеск</t>
  </si>
  <si>
    <t xml:space="preserve">Духи масляные </t>
  </si>
  <si>
    <t>Кофта для малыша</t>
  </si>
  <si>
    <t>Ложка силиконовая обучающая</t>
  </si>
  <si>
    <t>Щеточка для умывания лица</t>
  </si>
  <si>
    <t>Слюнявчик непромокаемый</t>
  </si>
  <si>
    <t>Триммер мужской</t>
  </si>
  <si>
    <t>Жидкая изолента</t>
  </si>
  <si>
    <t>Набор сверл</t>
  </si>
  <si>
    <t>Костюм мужской летний</t>
  </si>
  <si>
    <t>Кроссовки</t>
  </si>
  <si>
    <t>10049221589</t>
  </si>
  <si>
    <t>10049426845</t>
  </si>
  <si>
    <t>10050403736</t>
  </si>
  <si>
    <t>10050775076</t>
  </si>
  <si>
    <t>Светильник</t>
  </si>
  <si>
    <t>Алексей Бамси</t>
  </si>
  <si>
    <t>+79496014075</t>
  </si>
  <si>
    <t>10047631770</t>
  </si>
  <si>
    <t>+79497178192</t>
  </si>
  <si>
    <t>Новороссийская 28, ЖД Больница</t>
  </si>
  <si>
    <t>47.0718, 37.4881</t>
  </si>
  <si>
    <t>Нахимова 53, СК Ильичевец</t>
  </si>
  <si>
    <t>47.0876, 37.5293</t>
  </si>
  <si>
    <t>Ольга ЖД больница</t>
  </si>
  <si>
    <t>Бур для перформатора</t>
  </si>
  <si>
    <t>Видеоэндоскоп для смартфона</t>
  </si>
  <si>
    <t>Комплект беспроводная мини камера</t>
  </si>
  <si>
    <t>Удобрение Азофоска</t>
  </si>
  <si>
    <t>Наколенники</t>
  </si>
  <si>
    <t>Лидия Цысь</t>
  </si>
  <si>
    <t>+79496136002</t>
  </si>
  <si>
    <t>50 лет СССР 40</t>
  </si>
  <si>
    <t>47.1100, 37.5165</t>
  </si>
  <si>
    <t>Маска восстанавливающая</t>
  </si>
  <si>
    <t>Помада жидкая матовая</t>
  </si>
  <si>
    <t>Комплект втулок для мясорубки</t>
  </si>
  <si>
    <t>Фонарь карманный светодиодный</t>
  </si>
  <si>
    <t>Кофе растворимый</t>
  </si>
  <si>
    <t>Контейнер для еды стекло</t>
  </si>
  <si>
    <t>Кукла Айси</t>
  </si>
  <si>
    <t>Протеин</t>
  </si>
  <si>
    <t>Аргинин</t>
  </si>
  <si>
    <t>Куртка демисезонная</t>
  </si>
  <si>
    <t>Очиститель для стиральных машин</t>
  </si>
  <si>
    <t>Семена льна</t>
  </si>
  <si>
    <t>Набор бытовой химии</t>
  </si>
  <si>
    <t>Утенок туалетный</t>
  </si>
  <si>
    <t>Блок для унитаза</t>
  </si>
  <si>
    <t>Юрий от Вадима</t>
  </si>
  <si>
    <t>+79497304640</t>
  </si>
  <si>
    <t>Реле бензонасоса</t>
  </si>
  <si>
    <t>10051625678</t>
  </si>
  <si>
    <t>10052752576</t>
  </si>
  <si>
    <t>Кронштейн поворотный</t>
  </si>
  <si>
    <t>Диафильмы</t>
  </si>
  <si>
    <t>Дарья Урицкого</t>
  </si>
  <si>
    <t>Урицкого 109</t>
  </si>
  <si>
    <t>47.1252, 37.5081</t>
  </si>
  <si>
    <t>+79498198335</t>
  </si>
  <si>
    <t>Татьяна Тулина</t>
  </si>
  <si>
    <t>+79496057692</t>
  </si>
  <si>
    <t>Ровная 43а подъезд 6</t>
  </si>
  <si>
    <t>47.1500, 37.6147</t>
  </si>
  <si>
    <t>Валентина Сычева</t>
  </si>
  <si>
    <t>+79497388231</t>
  </si>
  <si>
    <t>Леваневского 58</t>
  </si>
  <si>
    <t>47.1007, 37.5310</t>
  </si>
  <si>
    <t>Виктория Урицкого 93а</t>
  </si>
  <si>
    <t>+79497309448</t>
  </si>
  <si>
    <t>Урицкого 93а</t>
  </si>
  <si>
    <t>47.1238, 37.5116</t>
  </si>
  <si>
    <t>Марьинская 145 Новоселовка Церковь</t>
  </si>
  <si>
    <t>Сетка кулинарная</t>
  </si>
  <si>
    <t>Нитритная соль</t>
  </si>
  <si>
    <t>Набор украшений</t>
  </si>
  <si>
    <t>Комплект маек</t>
  </si>
  <si>
    <t>Колготки для девочки</t>
  </si>
  <si>
    <t>Книжка с наклейками</t>
  </si>
  <si>
    <t>Набор для опытов</t>
  </si>
  <si>
    <t>Конструктор липучка</t>
  </si>
  <si>
    <t>Сыворотка для ресниц</t>
  </si>
  <si>
    <t>Ковер комнатный</t>
  </si>
  <si>
    <t>Трусы хлопковые детские</t>
  </si>
  <si>
    <t>Колодка клемная</t>
  </si>
  <si>
    <t>Лобзик ручной</t>
  </si>
  <si>
    <t>Дронго</t>
  </si>
  <si>
    <t>+7949</t>
  </si>
  <si>
    <t>Казанцева 116</t>
  </si>
  <si>
    <t>47.1036, 37.5427</t>
  </si>
  <si>
    <t>Игровой ноутбук</t>
  </si>
  <si>
    <t>Игрушка для детей</t>
  </si>
  <si>
    <t>Клавиатура и мышь игровая</t>
  </si>
  <si>
    <t>Будильник кубик</t>
  </si>
  <si>
    <t>Лампа для холодильника</t>
  </si>
  <si>
    <t>Маска для роста волос</t>
  </si>
  <si>
    <t>Славик Чунихин</t>
  </si>
  <si>
    <t>+79497257726 +79494365737</t>
  </si>
  <si>
    <t>47.1183, 37.6600</t>
  </si>
  <si>
    <t>Панфилова 128</t>
  </si>
  <si>
    <t>Пемза для пяток</t>
  </si>
  <si>
    <t>Духи женские</t>
  </si>
  <si>
    <t>Водолазка</t>
  </si>
  <si>
    <t>Очки для зрения +2,75</t>
  </si>
  <si>
    <t>Защитный экран на плиту</t>
  </si>
  <si>
    <t>Дезодорант для ног</t>
  </si>
  <si>
    <t>Сушилка для обуви</t>
  </si>
  <si>
    <t>Стакан</t>
  </si>
  <si>
    <t>Набор стаканов</t>
  </si>
  <si>
    <t>Футболка</t>
  </si>
  <si>
    <t>+79497486910</t>
  </si>
  <si>
    <t>50 лет СССР 32 подъезд 3 кв 95</t>
  </si>
  <si>
    <t>47.1099, 37.5190</t>
  </si>
  <si>
    <t>Ольга Родион 17</t>
  </si>
  <si>
    <t>Вахтангова 15а</t>
  </si>
  <si>
    <t>47.0882, 37.5117</t>
  </si>
  <si>
    <t>+79495228017</t>
  </si>
  <si>
    <t>Татьяна Вахтангова</t>
  </si>
  <si>
    <t>SR</t>
  </si>
  <si>
    <t>+79490353603</t>
  </si>
  <si>
    <t>47.0814, 37.5132</t>
  </si>
  <si>
    <t>Кронштадстская 14</t>
  </si>
  <si>
    <t>Стриппер для зачистки проводов</t>
  </si>
  <si>
    <t>Наконечник втулочный 10</t>
  </si>
  <si>
    <t>Наконечник втулочный 6</t>
  </si>
  <si>
    <t>Дальномер лазерный</t>
  </si>
  <si>
    <t>Шаблон для подрезетников</t>
  </si>
  <si>
    <t>Шкаф тканевый</t>
  </si>
  <si>
    <t>Этажерка для ванной</t>
  </si>
  <si>
    <t>Тюль в спальню</t>
  </si>
  <si>
    <t>Брелок карманный защита от собак</t>
  </si>
  <si>
    <t>Батарейка для слуховых аппаратов</t>
  </si>
  <si>
    <t>Насадка для майонеза</t>
  </si>
  <si>
    <t>Маркер для плиточных швов</t>
  </si>
  <si>
    <t>Порошок стиральный 5кг</t>
  </si>
  <si>
    <t>Белье постельное 1,5</t>
  </si>
  <si>
    <t>Кольцо серебро 925 размер 16,5</t>
  </si>
  <si>
    <t>Кольцо серебро 925 размер 18</t>
  </si>
  <si>
    <t>Стимулятор роста</t>
  </si>
  <si>
    <t>Удобрение</t>
  </si>
  <si>
    <t>Кокосовый субстрат</t>
  </si>
  <si>
    <t>Плитка пенопласт</t>
  </si>
  <si>
    <t>Ботинки зимние</t>
  </si>
  <si>
    <t>Набобр крючков для елки</t>
  </si>
  <si>
    <t>Звезда для елки</t>
  </si>
  <si>
    <t>Патчи для глаз</t>
  </si>
  <si>
    <t>Бенгальские огни</t>
  </si>
  <si>
    <t>Свечи декоративные</t>
  </si>
  <si>
    <t>Бальзам успокаивающий</t>
  </si>
  <si>
    <t>Крем для лица увлажняющий</t>
  </si>
  <si>
    <t>Гель для умывания</t>
  </si>
  <si>
    <t>Таймер кухонный</t>
  </si>
  <si>
    <t>Плед 150х200</t>
  </si>
  <si>
    <t>Электродрель ударная</t>
  </si>
  <si>
    <t>Жир медвежий</t>
  </si>
  <si>
    <t>Лента бордюрная прозрачная</t>
  </si>
  <si>
    <t>Масло какао от кашля</t>
  </si>
  <si>
    <t>Фартук кухонный</t>
  </si>
  <si>
    <t>Наволочки декоративные</t>
  </si>
  <si>
    <t>Покрывало на кровать</t>
  </si>
  <si>
    <t>Поилка автоматическая</t>
  </si>
  <si>
    <t>Шланг</t>
  </si>
  <si>
    <t>Слипоны</t>
  </si>
  <si>
    <t>Самокат</t>
  </si>
  <si>
    <t>Капкан</t>
  </si>
  <si>
    <t>Стекло двери передней правой</t>
  </si>
  <si>
    <t>10060116274</t>
  </si>
  <si>
    <t>Оксана Максима Рюкзак</t>
  </si>
  <si>
    <t>Сумская 42</t>
  </si>
  <si>
    <t>+79497342758</t>
  </si>
  <si>
    <t>Фито лампа для цветов</t>
  </si>
  <si>
    <t>Патрон с проводом</t>
  </si>
  <si>
    <t>Увлажнитель воздуха</t>
  </si>
  <si>
    <t>Лосины зимние</t>
  </si>
  <si>
    <t>Прокладки 15шт</t>
  </si>
  <si>
    <t>Прокладки 12шт</t>
  </si>
  <si>
    <t>Прокладки 20шт</t>
  </si>
  <si>
    <t>Резинки и заколки</t>
  </si>
  <si>
    <t>Ланцеты для глюкометра</t>
  </si>
  <si>
    <t>Набор пазлов</t>
  </si>
  <si>
    <t>Пазлы для детей</t>
  </si>
  <si>
    <t>Ободок</t>
  </si>
  <si>
    <t>Коврик в прихожую</t>
  </si>
  <si>
    <t>Крабик для волос</t>
  </si>
  <si>
    <t>Пижама с бриджами</t>
  </si>
  <si>
    <t>Румяна</t>
  </si>
  <si>
    <t>Дозадор для масла</t>
  </si>
  <si>
    <t>Колготки школьные</t>
  </si>
  <si>
    <t>Водоросли для суши</t>
  </si>
  <si>
    <t>Плед 200х220</t>
  </si>
  <si>
    <t>Термометр уличный</t>
  </si>
  <si>
    <t>Термометр уличный 2шт</t>
  </si>
  <si>
    <t>Велосипедки</t>
  </si>
  <si>
    <t>Масло эфирное</t>
  </si>
  <si>
    <t>Книга Я дружу с музыкой</t>
  </si>
  <si>
    <t>Набор карточек игровых</t>
  </si>
  <si>
    <t>Ночник</t>
  </si>
  <si>
    <t>Книжка на липучках</t>
  </si>
  <si>
    <t>Мазь при мастопатии</t>
  </si>
  <si>
    <t>Рыжик посевной</t>
  </si>
  <si>
    <t>Ветка искусственная Брусника</t>
  </si>
  <si>
    <t>Книга 100 уроков сольфеджио</t>
  </si>
  <si>
    <t>Кабель Micro-USB 3м</t>
  </si>
  <si>
    <t>Кабель Type-C 3м</t>
  </si>
  <si>
    <t>Колонки для компьютера</t>
  </si>
  <si>
    <t>Подарок бабушке</t>
  </si>
  <si>
    <t>Часы смарт</t>
  </si>
  <si>
    <t>Перфоратор</t>
  </si>
  <si>
    <t>Сортер для малышей</t>
  </si>
  <si>
    <t>Лонгслив 3шт</t>
  </si>
  <si>
    <t>Четки</t>
  </si>
  <si>
    <t>Духи</t>
  </si>
  <si>
    <t>Омега 3</t>
  </si>
  <si>
    <t>Брюки с начесом</t>
  </si>
  <si>
    <t>Измельчитель электрический</t>
  </si>
  <si>
    <t>Напиток чайный</t>
  </si>
  <si>
    <t>Мед натуральный</t>
  </si>
  <si>
    <t>Шампунь</t>
  </si>
  <si>
    <t>Концентрат для волос</t>
  </si>
  <si>
    <t>Пазлы для детей На ферме</t>
  </si>
  <si>
    <t>Пазлы для детей В лесу</t>
  </si>
  <si>
    <t>Пуговицы декоративные</t>
  </si>
  <si>
    <t>Паприка молотая</t>
  </si>
  <si>
    <t>Яндекс станция лайт</t>
  </si>
  <si>
    <t>47.1128, 37.6679</t>
  </si>
  <si>
    <t>Жемчужный 6/2</t>
  </si>
  <si>
    <t>Лампа 14V 3мм</t>
  </si>
  <si>
    <t>10060274292</t>
  </si>
  <si>
    <t>10059708434</t>
  </si>
  <si>
    <t>10059015808</t>
  </si>
  <si>
    <t>+79497050485</t>
  </si>
  <si>
    <t>Татьяна Курпина 13</t>
  </si>
  <si>
    <t>Куприна 13</t>
  </si>
  <si>
    <t>47.1026, 37.5111</t>
  </si>
  <si>
    <t>Пугачева 23</t>
  </si>
  <si>
    <t>Олеся Пугачева 23</t>
  </si>
  <si>
    <t>+79497113447</t>
  </si>
  <si>
    <t>47.1190, 37.5327</t>
  </si>
  <si>
    <t>+79497195898</t>
  </si>
  <si>
    <t>Наталья Школа 53</t>
  </si>
  <si>
    <t>Сумка для ноутбука</t>
  </si>
  <si>
    <t>Набор пробников</t>
  </si>
  <si>
    <t>Дезодорант антиперспирант</t>
  </si>
  <si>
    <t>Дезодорант минеральный</t>
  </si>
  <si>
    <t>Губка пилинг</t>
  </si>
  <si>
    <t>Паста-герметик</t>
  </si>
  <si>
    <t>Сетка от грызунов</t>
  </si>
  <si>
    <t>Гамак для собак</t>
  </si>
  <si>
    <t>Подушка деекоративная</t>
  </si>
  <si>
    <t>Наволочка на подушку</t>
  </si>
  <si>
    <t>Свеча светодиодная</t>
  </si>
  <si>
    <t>Шапка Деда Мороза</t>
  </si>
  <si>
    <t>Плед 180х200</t>
  </si>
  <si>
    <t>Плед 180х200 синий</t>
  </si>
  <si>
    <t>Тряпка для пола</t>
  </si>
  <si>
    <t>Подсвечник с иглой</t>
  </si>
  <si>
    <t>Термоусадочная трубка</t>
  </si>
  <si>
    <t>Сумка монтажника</t>
  </si>
  <si>
    <t>Набор коронок по дереву</t>
  </si>
  <si>
    <t>Отвертка тестер</t>
  </si>
  <si>
    <t>Плоскогубцы для электрика</t>
  </si>
  <si>
    <t>Набор термоусадок</t>
  </si>
  <si>
    <t>Набор буров для удаления саморезов</t>
  </si>
  <si>
    <t>Косарева Елена</t>
  </si>
  <si>
    <t>LK425213546CN</t>
  </si>
  <si>
    <t>CEL2012125547CD</t>
  </si>
  <si>
    <t>LZ130857007CN</t>
  </si>
  <si>
    <t>Кофеварка</t>
  </si>
  <si>
    <t>Фигура светодиодная</t>
  </si>
  <si>
    <t>Ночник Flamingo</t>
  </si>
  <si>
    <r>
      <t>614996</t>
    </r>
    <r>
      <rPr>
        <b/>
        <sz val="12"/>
        <color theme="1"/>
        <rFont val="Calibri"/>
        <family val="2"/>
        <charset val="204"/>
        <scheme val="minor"/>
      </rPr>
      <t>0147</t>
    </r>
  </si>
  <si>
    <t>ТЦ Мармелад, Зоозавр</t>
  </si>
  <si>
    <t>Лена Чунихина</t>
  </si>
  <si>
    <t>+79497112064</t>
  </si>
  <si>
    <t>47.1041, 37.5481</t>
  </si>
  <si>
    <t>Металлургов, 84</t>
  </si>
  <si>
    <t>Книга Монархи Британии</t>
  </si>
  <si>
    <t>Книга Биссмарк</t>
  </si>
  <si>
    <t>Книга Фавориты Екатерины Великой</t>
  </si>
  <si>
    <t>Роман Свиридов</t>
  </si>
  <si>
    <t>+79496346903</t>
  </si>
  <si>
    <t>47.1952, 37.3223</t>
  </si>
  <si>
    <t>Володарск, Володарского 41</t>
  </si>
  <si>
    <t>Камера видеонаблюдения уличная</t>
  </si>
  <si>
    <t>Оксана Моцная</t>
  </si>
  <si>
    <t>Книга для рецеатов</t>
  </si>
  <si>
    <t>Сейф копилка</t>
  </si>
  <si>
    <t>Глобус</t>
  </si>
  <si>
    <t>Кружка пивная</t>
  </si>
  <si>
    <t>Скатерть 120х150</t>
  </si>
  <si>
    <t>Игрушки елочные Сосульки</t>
  </si>
  <si>
    <t>Туника</t>
  </si>
  <si>
    <t>Пивной бокал</t>
  </si>
  <si>
    <t>+79495872741</t>
  </si>
  <si>
    <t>Колготки детские</t>
  </si>
  <si>
    <t>Пистолет для прокалывания ушей</t>
  </si>
  <si>
    <t>Пистолет для пирсинга носа</t>
  </si>
  <si>
    <t>Колготки</t>
  </si>
  <si>
    <t>Стекло защитное для планшета</t>
  </si>
  <si>
    <t>Магнит Рождественские гуляния</t>
  </si>
  <si>
    <t>Магнит С Рождеством Христовым</t>
  </si>
  <si>
    <t>Модель Ангел над храмом</t>
  </si>
  <si>
    <t>Магнит Счастья, любви и добра</t>
  </si>
  <si>
    <t>Магнит 3D С рождеством Христовым</t>
  </si>
  <si>
    <t>Набор магнитов С Рождеством Христовым</t>
  </si>
  <si>
    <t>Набор магнитов Новогодний</t>
  </si>
  <si>
    <t>Магнит Новогодняя ночь</t>
  </si>
  <si>
    <t>Магнит Снегирь</t>
  </si>
  <si>
    <t>Магнит С Рождеством Христовым Снегирь</t>
  </si>
  <si>
    <t>P000216695539</t>
  </si>
  <si>
    <t>10065096300</t>
  </si>
  <si>
    <t>10065096298</t>
  </si>
  <si>
    <t>Елизавета Водоканал</t>
  </si>
  <si>
    <t>Варганова 7</t>
  </si>
  <si>
    <t>47.0989, 37.5429</t>
  </si>
  <si>
    <t>Гранитная 148 подъезд 2, кв. 68</t>
  </si>
  <si>
    <t>47.1253, 37.5129</t>
  </si>
  <si>
    <t>Коля Чунихин</t>
  </si>
  <si>
    <t>Строителей 191</t>
  </si>
  <si>
    <t>47.1231, 37.5279</t>
  </si>
  <si>
    <t>+79494368263</t>
  </si>
  <si>
    <t>Сумка на плечо</t>
  </si>
  <si>
    <t>Троицкая 61</t>
  </si>
  <si>
    <t>Антон Старокрымский</t>
  </si>
  <si>
    <t>+79497437389</t>
  </si>
  <si>
    <t>47.1121, 37.5175</t>
  </si>
  <si>
    <t>Брюки Hello Kitty</t>
  </si>
  <si>
    <t>Книга Иван Калита</t>
  </si>
  <si>
    <t>Алексендр Невский</t>
  </si>
  <si>
    <t>Книга Полководцы Святой Руси</t>
  </si>
  <si>
    <t>Книга Полководцы первых Романовых</t>
  </si>
  <si>
    <t>Книга Ермак</t>
  </si>
  <si>
    <t>Молодая Гвардия</t>
  </si>
  <si>
    <t>Клавиатура игровая</t>
  </si>
  <si>
    <t>Пепельница ветрозащитная</t>
  </si>
  <si>
    <t>Переходник USB 4 порта</t>
  </si>
  <si>
    <t xml:space="preserve">    </t>
  </si>
  <si>
    <t>Тэн для бойлера</t>
  </si>
  <si>
    <t>Кастрюля эмалированная</t>
  </si>
  <si>
    <t>Коврик силиконовый</t>
  </si>
  <si>
    <t>Кофемолка электрическая</t>
  </si>
  <si>
    <t>Насадка для пылесоса</t>
  </si>
  <si>
    <t>Крем питательный ночной</t>
  </si>
  <si>
    <t>Баллон газовый 5л</t>
  </si>
  <si>
    <t>Тюль шторы</t>
  </si>
  <si>
    <t>Обои моющиеся бумажные</t>
  </si>
  <si>
    <t>Кусачки педикюрные</t>
  </si>
  <si>
    <t>Мягкая игрушка</t>
  </si>
  <si>
    <t>Таблетки для похудения</t>
  </si>
  <si>
    <t>Сахарозаменитель</t>
  </si>
  <si>
    <t>Молоко сухое</t>
  </si>
  <si>
    <t>Тест полоски для глюкометра</t>
  </si>
  <si>
    <t>10069984049</t>
  </si>
  <si>
    <t>LC612911425CN</t>
  </si>
  <si>
    <t>RM593901391HK</t>
  </si>
  <si>
    <t>Нивелир лазерный</t>
  </si>
  <si>
    <t>Строителей 156, кв. 83</t>
  </si>
  <si>
    <t>+79497543529</t>
  </si>
  <si>
    <t>Вита Строителей</t>
  </si>
  <si>
    <t>Белье нижнее женское</t>
  </si>
  <si>
    <t>Рыбочистка</t>
  </si>
  <si>
    <t>Сеченова 74, подъезд 2</t>
  </si>
  <si>
    <t>47.1316, 37.5623</t>
  </si>
  <si>
    <t>Ярослав Еременко</t>
  </si>
  <si>
    <t>Медицинский центр</t>
  </si>
  <si>
    <t>Boxberry Большая бульварная 11</t>
  </si>
  <si>
    <t>+79497162549</t>
  </si>
  <si>
    <t>Наталья Шевченко</t>
  </si>
  <si>
    <t>Шевченко 295 подъезд 3</t>
  </si>
  <si>
    <t>+79497399662</t>
  </si>
  <si>
    <t>47.1179, 37.5217</t>
  </si>
  <si>
    <t>Кольцо Сваровски</t>
  </si>
  <si>
    <t>Пленка самоклеющаяся</t>
  </si>
  <si>
    <t>Плинтус для столешницы</t>
  </si>
  <si>
    <t>Гирлянда</t>
  </si>
  <si>
    <t>Освежитель воздуха</t>
  </si>
  <si>
    <t>Полотенца бумажные</t>
  </si>
  <si>
    <t>Коврик комнатный</t>
  </si>
  <si>
    <t>Стул для ванной</t>
  </si>
  <si>
    <t>Мягкая косточка для животных</t>
  </si>
  <si>
    <t>Голосовая кнопка</t>
  </si>
  <si>
    <t>Вячеслав Протонов</t>
  </si>
  <si>
    <t>+79497036395</t>
  </si>
  <si>
    <t>Металлургов 187</t>
  </si>
  <si>
    <t>47.1270, 37.5662</t>
  </si>
  <si>
    <t>Кобура для оружия</t>
  </si>
  <si>
    <t>Пистолет пневматический</t>
  </si>
  <si>
    <t>Зарядное устройство для рации</t>
  </si>
  <si>
    <t>Зарядный стакан для радиостанции</t>
  </si>
  <si>
    <t>Игрушка для кошек</t>
  </si>
  <si>
    <t>USB HUB 8 в 1</t>
  </si>
  <si>
    <t>Нож обвалочный</t>
  </si>
  <si>
    <t>Перчатка кольчужная</t>
  </si>
  <si>
    <t>Куртка флисовая</t>
  </si>
  <si>
    <t>КИТ Володарское шоссе 1</t>
  </si>
  <si>
    <t>Кепка тактическая</t>
  </si>
  <si>
    <t>gender</t>
  </si>
  <si>
    <t>percent</t>
  </si>
  <si>
    <t>gps</t>
  </si>
  <si>
    <t>clientId</t>
  </si>
  <si>
    <t>67877e9959f103dce29e0331</t>
  </si>
  <si>
    <t>67877e9959f103dce29e0373</t>
  </si>
  <si>
    <t>67877e9959f103dce29e0332</t>
  </si>
  <si>
    <t>67877e9959f103dce29e0352</t>
  </si>
  <si>
    <t>67877e9959f103dce29e0330</t>
  </si>
  <si>
    <t>67877e9959f103dce29e0340</t>
  </si>
  <si>
    <t>67877e9959f103dce29e0374</t>
  </si>
  <si>
    <t>67877e9959f103dce29e033c</t>
  </si>
  <si>
    <t>67877e9959f103dce29e035b</t>
  </si>
  <si>
    <t>67877e9959f103dce29e0355</t>
  </si>
  <si>
    <t>67877e9959f103dce29e0375</t>
  </si>
  <si>
    <t>67877e9959f103dce29e0376</t>
  </si>
  <si>
    <t>67877e9959f103dce29e0339</t>
  </si>
  <si>
    <t>67877e9959f103dce29e033e</t>
  </si>
  <si>
    <t>67877e9959f103dce29e0338</t>
  </si>
  <si>
    <t>67877e9959f103dce29e0377</t>
  </si>
  <si>
    <t>67877e9959f103dce29e0351</t>
  </si>
  <si>
    <t>67877e9959f103dce29e0353</t>
  </si>
  <si>
    <t>67877e9959f103dce29e037c</t>
  </si>
  <si>
    <t>67877e9959f103dce29e0335</t>
  </si>
  <si>
    <t>67877e9959f103dce29e036d</t>
  </si>
  <si>
    <t>67877e9959f103dce29e0378</t>
  </si>
  <si>
    <t>67877e9959f103dce29e0379</t>
  </si>
  <si>
    <t>67877e9959f103dce29e037b</t>
  </si>
  <si>
    <t>67877e9959f103dce29e037a</t>
  </si>
  <si>
    <t>67877e9959f103dce29e038a</t>
  </si>
  <si>
    <t>67877e9959f103dce29e0343</t>
  </si>
  <si>
    <t>67877e9959f103dce29e0350</t>
  </si>
  <si>
    <t>67877e9959f103dce29e034d</t>
  </si>
  <si>
    <t>67877e9959f103dce29e0382</t>
  </si>
  <si>
    <t>67877e9959f103dce29e0384</t>
  </si>
  <si>
    <t>67877e9959f103dce29e0387</t>
  </si>
  <si>
    <t>67877e9959f103dce29e0383</t>
  </si>
  <si>
    <t>67877e9959f103dce29e0386</t>
  </si>
  <si>
    <t>67877e9959f103dce29e0388</t>
  </si>
  <si>
    <t>67877e9959f103dce29e038b</t>
  </si>
  <si>
    <t>67877e9959f103dce29e0349</t>
  </si>
  <si>
    <t>67877e9959f103dce29e038c</t>
  </si>
  <si>
    <t>67877e9959f103dce29e038d</t>
  </si>
  <si>
    <t>67877e9959f103dce29e038e</t>
  </si>
  <si>
    <t>67877e9959f103dce29e0356</t>
  </si>
  <si>
    <t>67877e9959f103dce29e0334</t>
  </si>
  <si>
    <t>67877e9959f103dce29e0393</t>
  </si>
  <si>
    <t>67877e9959f103dce29e0395</t>
  </si>
  <si>
    <t>67877e9959f103dce29e0397</t>
  </si>
  <si>
    <t>67877e9959f103dce29e039d</t>
  </si>
  <si>
    <t>67877e9959f103dce29e039a</t>
  </si>
  <si>
    <t>67877e9959f103dce29e033a</t>
  </si>
  <si>
    <t>67877e9959f103dce29e03a0</t>
  </si>
  <si>
    <t>67877e9959f103dce29e03a3</t>
  </si>
  <si>
    <t>67877e9959f103dce29e034b</t>
  </si>
  <si>
    <t>67877e9959f103dce29e03a6</t>
  </si>
  <si>
    <t>67877e9959f103dce29e03a7</t>
  </si>
  <si>
    <t>67877e9959f103dce29e03a9</t>
  </si>
  <si>
    <t>67877e9959f103dce29e03aa</t>
  </si>
  <si>
    <t>67877e9959f103dce29e03ab</t>
  </si>
  <si>
    <t>67877e9959f103dce29e03ac</t>
  </si>
  <si>
    <t>67877e9959f103dce29e03af</t>
  </si>
  <si>
    <t>67877e9959f103dce29e03b1</t>
  </si>
  <si>
    <t>67877e9959f103dce29e03b4</t>
  </si>
  <si>
    <t>67877e9959f103dce29e03b5</t>
  </si>
  <si>
    <t>67877e9959f103dce29e03b9</t>
  </si>
  <si>
    <t>67877e9959f103dce29e03ba</t>
  </si>
  <si>
    <t>67877e9959f103dce29e03bb</t>
  </si>
  <si>
    <t>67877e9959f103dce29e03bc</t>
  </si>
  <si>
    <t>67877e9959f103dce29e03c1</t>
  </si>
  <si>
    <t>67877e9959f103dce29e03c4</t>
  </si>
  <si>
    <t>67877e9959f103dce29e03c7</t>
  </si>
  <si>
    <t>67877e9959f103dce29e03cc</t>
  </si>
  <si>
    <t>67877e9959f103dce29e03cf</t>
  </si>
  <si>
    <t>67877e9959f103dce29e03d0</t>
  </si>
  <si>
    <t>67877e9959f103dce29e03d3</t>
  </si>
  <si>
    <t>67877e9959f103dce29e03d9</t>
  </si>
  <si>
    <t>67877e9959f103dce29e03da</t>
  </si>
  <si>
    <t>67877e9959f103dce29e03db</t>
  </si>
  <si>
    <t>67877e9959f103dce29e03dd</t>
  </si>
  <si>
    <t>67877e9959f103dce29e03de</t>
  </si>
  <si>
    <t>67877e9959f103dce29e03df</t>
  </si>
  <si>
    <t>67877e9959f103dce29e03e3</t>
  </si>
  <si>
    <t>67877e9959f103dce29e03e4</t>
  </si>
  <si>
    <t>67877e9959f103dce29e03e5</t>
  </si>
  <si>
    <t>67877e9959f103dce29e03e6</t>
  </si>
  <si>
    <t>67877e9959f103dce29e03e7</t>
  </si>
  <si>
    <t>67877e9959f103dce29e03ea</t>
  </si>
  <si>
    <t>67877e9959f103dce29e03eb</t>
  </si>
  <si>
    <t>67877e9959f103dce29e03ec</t>
  </si>
  <si>
    <t>67877e9959f103dce29e03ed</t>
  </si>
  <si>
    <t>67877e9959f103dce29e03f0</t>
  </si>
  <si>
    <t>67877e9959f103dce29e03f2</t>
  </si>
  <si>
    <t>67877e9959f103dce29e03b3</t>
  </si>
  <si>
    <t>67877e9959f103dce29e03f3</t>
  </si>
  <si>
    <t>67877e9959f103dce29e03f4</t>
  </si>
  <si>
    <t>67877e9959f103dce29e03f8</t>
  </si>
  <si>
    <t>67877e9959f103dce29e03f9</t>
  </si>
  <si>
    <t>67877e9959f103dce29e03fa</t>
  </si>
  <si>
    <t>67877e9959f103dce29e03fc</t>
  </si>
  <si>
    <t>67877e9959f103dce29e03fd</t>
  </si>
  <si>
    <t>67877e9959f103dce29e0400</t>
  </si>
  <si>
    <t>67877e9959f103dce29e0405</t>
  </si>
  <si>
    <t>67877e9959f103dce29e0402</t>
  </si>
  <si>
    <t>67877e9959f103dce29e0403</t>
  </si>
  <si>
    <t>67877e9959f103dce29e0406</t>
  </si>
  <si>
    <t>67877e9959f103dce29e0407</t>
  </si>
  <si>
    <t>67877e9959f103dce29e0408</t>
  </si>
  <si>
    <t>67877e9959f103dce29e040a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</si>
</sst>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EA6A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3" fontId="0" fillId="0" borderId="0" xfId="0" applyNumberFormat="1"/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49" fontId="0" fillId="0" borderId="0" xfId="0" applyNumberFormat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49" fontId="0" fillId="2" borderId="0" xfId="0" applyNumberFormat="1" applyFill="1" applyAlignment="1" applyProtection="1">
      <alignment horizontal="center"/>
      <protection locked="0"/>
    </xf>
    <xf numFmtId="14" fontId="0" fillId="2" borderId="0" xfId="0" applyNumberFormat="1" applyFill="1" applyAlignment="1" applyProtection="1">
      <alignment horizontal="center"/>
      <protection locked="0"/>
    </xf>
    <xf numFmtId="0" fontId="1" fillId="0" borderId="0" xfId="1" applyProtection="1">
      <protection locked="0"/>
    </xf>
    <xf numFmtId="49" fontId="1" fillId="0" borderId="0" xfId="1" applyNumberFormat="1" applyProtection="1">
      <protection locked="0"/>
    </xf>
    <xf numFmtId="14" fontId="0" fillId="0" borderId="0" xfId="0" applyNumberFormat="1" applyProtection="1">
      <protection locked="0"/>
    </xf>
    <xf numFmtId="0" fontId="1" fillId="0" borderId="0" xfId="1" applyProtection="1">
      <protection locked="0"/>
    </xf>
    <xf numFmtId="49" fontId="1" fillId="0" borderId="0" xfId="1" applyNumberFormat="1" applyProtection="1">
      <protection locked="0"/>
    </xf>
    <xf numFmtId="0" fontId="1" fillId="0" borderId="0" xfId="1" applyFill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49" fontId="0" fillId="0" borderId="0" xfId="0" applyNumberFormat="1" applyFont="1" applyProtection="1">
      <protection locked="0"/>
    </xf>
    <xf numFmtId="0" fontId="0" fillId="0" borderId="0" xfId="0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9" fillId="5" borderId="0" xfId="1" applyFont="1" applyFill="1" applyProtection="1">
      <protection locked="0"/>
    </xf>
    <xf numFmtId="0" fontId="9" fillId="0" borderId="0" xfId="1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7" fillId="5" borderId="0" xfId="0" applyFont="1" applyFill="1" applyProtection="1">
      <protection locked="0"/>
    </xf>
    <xf numFmtId="3" fontId="3" fillId="0" borderId="0" xfId="0" applyNumberFormat="1" applyFo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Protection="1">
      <protection locked="0"/>
    </xf>
    <xf numFmtId="3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3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4" fontId="8" fillId="0" borderId="0" xfId="0" applyNumberFormat="1" applyFont="1" applyProtection="1">
      <protection locked="0"/>
    </xf>
    <xf numFmtId="0" fontId="1" fillId="0" borderId="0" xfId="1" applyFill="1"/>
    <xf numFmtId="10" fontId="0" fillId="0" borderId="0" xfId="0" applyNumberFormat="1" applyProtection="1">
      <protection locked="0"/>
    </xf>
    <xf numFmtId="0" fontId="3" fillId="0" borderId="0" xfId="0" applyFont="1"/>
    <xf numFmtId="0" fontId="0" fillId="3" borderId="0" xfId="0" applyFill="1" applyProtection="1">
      <protection locked="0"/>
    </xf>
    <xf numFmtId="49" fontId="0" fillId="8" borderId="0" xfId="0" applyNumberFormat="1" applyFill="1" applyProtection="1">
      <protection locked="0"/>
    </xf>
    <xf numFmtId="14" fontId="0" fillId="5" borderId="0" xfId="0" applyNumberFormat="1" applyFill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1" fillId="0" borderId="0" xfId="2" applyProtection="1">
      <protection locked="0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62">
    <dxf>
      <fill>
        <patternFill patternType="solid">
          <bgColor rgb="FF00EA6A"/>
        </patternFill>
      </fill>
    </dxf>
    <dxf>
      <fill>
        <patternFill patternType="solid">
          <bgColor rgb="FF00EA6A"/>
        </patternFill>
      </fill>
    </dxf>
    <dxf>
      <fill>
        <patternFill patternType="solid">
          <bgColor rgb="FF00EA6A"/>
        </patternFill>
      </fill>
    </dxf>
    <dxf>
      <font>
        <b/>
        <i val="0"/>
        <color rgb="FFFF0000"/>
      </font>
    </dxf>
    <dxf>
      <fill>
        <patternFill patternType="solid">
          <bgColor rgb="FF00EA6A"/>
        </patternFill>
      </fill>
    </dxf>
    <dxf>
      <font>
        <b/>
        <i val="0"/>
        <color rgb="FFFF0000"/>
      </font>
    </dxf>
    <dxf>
      <fill>
        <patternFill patternType="solid">
          <bgColor rgb="FF00EA6A"/>
        </patternFill>
      </fill>
    </dxf>
    <dxf>
      <font>
        <b/>
        <i val="0"/>
        <color rgb="FFFF0000"/>
      </font>
    </dxf>
    <dxf>
      <fill>
        <patternFill patternType="solid">
          <bgColor rgb="FF00EA6A"/>
        </patternFill>
      </fill>
    </dxf>
    <dxf>
      <font>
        <b/>
        <i val="0"/>
        <color rgb="FFFF0000"/>
      </font>
    </dxf>
    <dxf>
      <fill>
        <patternFill patternType="solid">
          <bgColor rgb="FF00EA6A"/>
        </patternFill>
      </fill>
    </dxf>
    <dxf>
      <fill>
        <patternFill patternType="solid">
          <bgColor rgb="FF00EA6A"/>
        </patternFill>
      </fill>
    </dxf>
    <dxf>
      <fill>
        <patternFill patternType="solid">
          <bgColor rgb="FF00EA6A"/>
        </patternFill>
      </fill>
    </dxf>
    <dxf>
      <fill>
        <patternFill patternType="solid">
          <bgColor rgb="FF00EA6A"/>
        </patternFill>
      </fill>
    </dxf>
    <dxf>
      <fill>
        <patternFill patternType="solid">
          <bgColor rgb="FF00EA6A"/>
        </patternFill>
      </fill>
    </dxf>
    <dxf>
      <fill>
        <patternFill patternType="solid">
          <bgColor rgb="FF00EA6A"/>
        </patternFill>
      </fill>
    </dxf>
    <dxf>
      <fill>
        <patternFill patternType="solid">
          <bgColor rgb="FF00EA6A"/>
        </patternFill>
      </fill>
    </dxf>
    <dxf>
      <fill>
        <patternFill>
          <bgColor rgb="FF66FF6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numFmt numFmtId="19" formatCode="dd/mm/yyyy"/>
      <protection locked="0" hidden="0"/>
    </dxf>
    <dxf>
      <numFmt numFmtId="164" formatCode="0_ ;[Red]\-0\ "/>
      <protection locked="0" hidden="0"/>
    </dxf>
    <dxf>
      <numFmt numFmtId="164" formatCode="0_ ;[Red]\-0\ "/>
      <protection locked="0" hidden="0"/>
    </dxf>
    <dxf>
      <numFmt numFmtId="3" formatCode="#,##0"/>
      <protection locked="0" hidden="0"/>
    </dxf>
    <dxf>
      <numFmt numFmtId="3" formatCode="#,##0"/>
      <protection locked="0" hidden="0"/>
    </dxf>
    <dxf>
      <numFmt numFmtId="0" formatCode="General"/>
    </dxf>
    <dxf>
      <numFmt numFmtId="0" formatCode="General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</dxf>
    <dxf>
      <protection locked="0" hidden="0"/>
    </dxf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numFmt numFmtId="19" formatCode="dd/mm/yyyy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EA6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9AB12-052E-40E8-A728-2B85C215C79C}" name="ТабКлиенты" displayName="ТабКлиенты" ref="A1:F221" totalsRowShown="0">
  <autoFilter ref="A1:F221" xr:uid="{FE39AB12-052E-40E8-A728-2B85C215C79C}"/>
  <tableColumns count="6">
    <tableColumn id="1" xr3:uid="{BA97EC0C-868B-4092-9EC3-BA81C7C4A5D2}" name="name"/>
    <tableColumn id="4" xr3:uid="{4EC0C81F-ABC9-4A64-A93D-1E82F8615C53}" name="gender"/>
    <tableColumn id="2" xr3:uid="{F1D3C234-FC76-4B07-A005-74B284617567}" name="phone"/>
    <tableColumn id="3" xr3:uid="{4AE5CD01-BF7D-4DDF-890A-7F2486BDEB59}" name="address"/>
    <tableColumn id="12" xr3:uid="{10DA1533-BFCC-4E46-8121-D4B0A201A954}" name="gps"/>
    <tableColumn id="6" xr3:uid="{93CB5F00-FB75-42A1-AA7C-8A6804C84823}" name="perc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A2A49A-BC35-4FF4-8E4E-E64C6B78BEF0}" name="ТабЗаказы" displayName="ТабЗаказы" ref="A1:D433" totalsRowShown="0">
  <autoFilter ref="A1:D433" xr:uid="{A2A2A49A-BC35-4FF4-8E4E-E64C6B78BEF0}"/>
  <tableColumns count="4">
    <tableColumn id="2" xr3:uid="{67F46BB1-4A7C-459B-A1D3-17B2EE9800A0}" name="orderNum">
      <calculatedColumnFormula>A1+1</calculatedColumnFormula>
    </tableColumn>
    <tableColumn id="1" xr3:uid="{9060C9D0-9478-46F3-AF1F-DAFBBD4E0D1A}" name="date" dataDxfId="23" totalsRowDxfId="22"/>
    <tableColumn id="4" xr3:uid="{E937430A-53C0-4370-8EA8-407B087A1068}" name="clientId" dataDxfId="20" totalsRowDxfId="21"/>
    <tableColumn id="6" xr3:uid="{448D85BF-0E9E-4CF3-80D0-3F8FCAC00075}" nam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FF8FC4-79DD-40CE-B58D-470A2CD8FA8A}" name="ТабПозиции" displayName="ТабПозиции" ref="A7:W1660" totalsRowCount="1" headerRowDxfId="61">
  <autoFilter ref="A7:W1659" xr:uid="{F2FF8FC4-79DD-40CE-B58D-470A2CD8FA8A}">
    <filterColumn colId="6">
      <filters>
        <filter val="Нет"/>
      </filters>
    </filterColumn>
    <filterColumn colId="22">
      <filters>
        <filter val="Нет"/>
      </filters>
    </filterColumn>
  </autoFilter>
  <sortState xmlns:xlrd2="http://schemas.microsoft.com/office/spreadsheetml/2017/richdata2" ref="A948:W974">
    <sortCondition ref="T7:T1291"/>
  </sortState>
  <tableColumns count="23">
    <tableColumn id="1" xr3:uid="{92EAD96E-9EE7-4233-8FFD-5AD7510D9BD0}" name="orderNum" totalsRowLabel="Итог" dataDxfId="60" totalsRowDxfId="59"/>
    <tableColumn id="2" xr3:uid="{F41B8E35-3556-4898-90F2-4D44C2EC8B67}" name="date" dataDxfId="58"/>
    <tableColumn id="24" xr3:uid="{C783757B-B31E-4E46-9873-A232CC98B828}" name="Месяц" dataDxfId="57">
      <calculatedColumnFormula>MONTH(ТабПозиции[[#This Row],[date]])&amp;"/"&amp;YEAR(ТабПозиции[[#This Row],[date]])</calculatedColumnFormula>
    </tableColumn>
    <tableColumn id="17" xr3:uid="{E95DE998-5532-4639-B34C-B8E0B92D52A8}" name="client" dataDxfId="56"/>
    <tableColumn id="19" xr3:uid="{2839D0F9-CA33-400A-926A-8544ED87A680}" name="phone" dataDxfId="55"/>
    <tableColumn id="3" xr3:uid="{FCD24601-06A2-4417-8ED1-3A6DDC898656}" name="item" dataDxfId="54" totalsRowDxfId="53"/>
    <tableColumn id="15" xr3:uid="{8A85A45C-1D67-4408-B958-FE11A51C518E}" name="Получен ПВЗ" dataDxfId="52" totalsRowDxfId="51"/>
    <tableColumn id="20" xr3:uid="{C8090E35-ED38-48A3-BFCB-DBA7EE7B7983}" name="abroad" dataDxfId="50" totalsRowDxfId="49"/>
    <tableColumn id="9" xr3:uid="{E9B7B80D-BB53-45C8-9619-8F2A544CC6C9}" name="dateTo" dataDxfId="48" totalsRowDxfId="47"/>
    <tableColumn id="4" xr3:uid="{9277276F-403A-4BE0-B0AB-0EE09C510B52}" name="quantity" totalsRowFunction="count" dataDxfId="46" totalsRowDxfId="45"/>
    <tableColumn id="21" xr3:uid="{3F242B96-AF1D-4491-84BD-D2021912E176}" name="discountPrice" dataDxfId="44" totalsRowDxfId="43"/>
    <tableColumn id="22" xr3:uid="{1BA966A7-3D9D-4827-8178-1A89DDA99FB0}" name="discountSumm" totalsRowFunction="sum" dataDxfId="42"/>
    <tableColumn id="5" xr3:uid="{84DFC0D0-ACE4-4080-97CD-21C1C58F8C55}" name="price" dataDxfId="41" totalsRowDxfId="40"/>
    <tableColumn id="6" xr3:uid="{95A360D6-ECCF-4383-ACA4-CC60E8B3D38A}" name="orderSumm" totalsRowFunction="sum">
      <calculatedColumnFormula>M8*J8</calculatedColumnFormula>
    </tableColumn>
    <tableColumn id="23" xr3:uid="{EAC4320C-8C9C-4504-9A68-B647779A447B}" name="deliveryPost" totalsRowFunction="sum" dataDxfId="39" totalsRowDxfId="38"/>
    <tableColumn id="7" xr3:uid="{9E7B387E-79C9-4908-A548-E5DD524FA49F}" name="deliverySumm" totalsRowFunction="sum" dataDxfId="37"/>
    <tableColumn id="8" xr3:uid="{72BEE366-5C2D-4DF8-92AA-09E4699B0C6E}" name="totalSumm" totalsRowFunction="sum" dataDxfId="36">
      <calculatedColumnFormula>IF(OR(ТабПозиции[[#This Row],[item]]="По штрихкоду",ТабПозиции[[#This Row],[item]]="Посылка"),ТабПозиции[[#This Row],[deliverySumm]]+ТабПозиции[[#This Row],[deliveryPost]],SUM(N8:P8))</calculatedColumnFormula>
    </tableColumn>
    <tableColumn id="12" xr3:uid="{84B2E6E5-6B28-4BFB-BB9A-D5F49AF2B1FD}" name="payment" totalsRowFunction="sum" dataDxfId="35" totalsRowDxfId="34"/>
    <tableColumn id="18" xr3:uid="{419D7097-AD11-4991-A848-61E7BE3584A9}" name="Остаток" totalsRowFunction="sum" dataDxfId="33" totalsRowDxfId="32">
      <calculatedColumnFormula>ТабПозиции[[#This Row],[totalSumm]]-ТабПозиции[[#This Row],[payment]]</calculatedColumnFormula>
    </tableColumn>
    <tableColumn id="10" xr3:uid="{361E6D3C-979B-4418-8FB4-129AAD3D75E6}" name="pvzName" dataDxfId="31" totalsRowDxfId="30"/>
    <tableColumn id="11" xr3:uid="{C1684814-A817-4BF7-B43F-4A2DB0B8F43A}" name="Заказан" dataDxfId="29" totalsRowDxfId="28"/>
    <tableColumn id="13" xr3:uid="{DF57C69C-E520-43C7-B704-E18C340BDA19}" name="Оплачен" dataDxfId="27" totalsRowDxfId="26"/>
    <tableColumn id="16" xr3:uid="{0319486D-F84F-4FB5-AA07-3EDD9A0FE0AC}" name="Выдан Клиенту" dataDxfId="25" totalsRowDxfId="2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.me/EBAKA10" TargetMode="External"/><Relationship Id="rId2" Type="http://schemas.openxmlformats.org/officeDocument/2006/relationships/hyperlink" Target="https://t.me/marichkaaaiii" TargetMode="External"/><Relationship Id="rId1" Type="http://schemas.openxmlformats.org/officeDocument/2006/relationships/hyperlink" Target="https://t.me/poliinki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wildberries.ru/catalog/65579476/detail.aspx" TargetMode="External"/><Relationship Id="rId170" Type="http://schemas.openxmlformats.org/officeDocument/2006/relationships/hyperlink" Target="https://ozon.ru/t/nbr3Mjw" TargetMode="External"/><Relationship Id="rId268" Type="http://schemas.openxmlformats.org/officeDocument/2006/relationships/hyperlink" Target="https://www.wildberries.ru/catalog/110774993/detail.aspx?targetUrl=SN" TargetMode="External"/><Relationship Id="rId475" Type="http://schemas.openxmlformats.org/officeDocument/2006/relationships/hyperlink" Target="https://ozon.ru/t/y8z5E3y" TargetMode="External"/><Relationship Id="rId682" Type="http://schemas.openxmlformats.org/officeDocument/2006/relationships/hyperlink" Target="https://www.wildberries.ru/catalog/208368499/detail.aspx?targetUrl=SG" TargetMode="External"/><Relationship Id="rId128" Type="http://schemas.openxmlformats.org/officeDocument/2006/relationships/hyperlink" Target="https://ozon.ru/t/q7k2J94" TargetMode="External"/><Relationship Id="rId335" Type="http://schemas.openxmlformats.org/officeDocument/2006/relationships/hyperlink" Target="https://ozon.ru/t/JKdLbXb" TargetMode="External"/><Relationship Id="rId542" Type="http://schemas.openxmlformats.org/officeDocument/2006/relationships/hyperlink" Target="https://wildberries.ru/catalog/204992045/detail.aspx" TargetMode="External"/><Relationship Id="rId987" Type="http://schemas.openxmlformats.org/officeDocument/2006/relationships/hyperlink" Target="https://ozon.ru/t/6X3MWvN" TargetMode="External"/><Relationship Id="rId1172" Type="http://schemas.openxmlformats.org/officeDocument/2006/relationships/hyperlink" Target="https://www.wildberries.ru/catalog/240440333/detail.aspx?size=377927610" TargetMode="External"/><Relationship Id="rId402" Type="http://schemas.openxmlformats.org/officeDocument/2006/relationships/hyperlink" Target="https://ozon.ru/t/00y4aPk" TargetMode="External"/><Relationship Id="rId847" Type="http://schemas.openxmlformats.org/officeDocument/2006/relationships/hyperlink" Target="https://wildberries.ru/catalog/191198176/detail.aspx" TargetMode="External"/><Relationship Id="rId1032" Type="http://schemas.openxmlformats.org/officeDocument/2006/relationships/hyperlink" Target="https://www.wildberries.ru/catalog/240448442/detail.aspx?size=377939944" TargetMode="External"/><Relationship Id="rId707" Type="http://schemas.openxmlformats.org/officeDocument/2006/relationships/hyperlink" Target="https://ozon.ru/t/M9R3nXJ" TargetMode="External"/><Relationship Id="rId914" Type="http://schemas.openxmlformats.org/officeDocument/2006/relationships/hyperlink" Target="https://www.wildberries.ru/catalog/165613031/detail.aspx?size=275746229" TargetMode="External"/><Relationship Id="rId1337" Type="http://schemas.openxmlformats.org/officeDocument/2006/relationships/hyperlink" Target="https://wildberries.ru/catalog/221296752/detail.aspx" TargetMode="External"/><Relationship Id="rId43" Type="http://schemas.openxmlformats.org/officeDocument/2006/relationships/hyperlink" Target="https://www.wildberries.ru/catalog/174283935/detail.aspx" TargetMode="External"/><Relationship Id="rId192" Type="http://schemas.openxmlformats.org/officeDocument/2006/relationships/hyperlink" Target="https://ozon.ru/t/864nl4r" TargetMode="External"/><Relationship Id="rId497" Type="http://schemas.openxmlformats.org/officeDocument/2006/relationships/hyperlink" Target="https://ozon.ru/t/QKgwXKN" TargetMode="External"/><Relationship Id="rId357" Type="http://schemas.openxmlformats.org/officeDocument/2006/relationships/hyperlink" Target="https://www.avito.ru/mineralnye_vody/knigi_i_zhurnaly/noty_dlya_tserkovnogo_hora_i_voskresnoy_shkoly_3899132470" TargetMode="External"/><Relationship Id="rId1194" Type="http://schemas.openxmlformats.org/officeDocument/2006/relationships/hyperlink" Target="https://ozon.ru/t/a91ANEg" TargetMode="External"/><Relationship Id="rId217" Type="http://schemas.openxmlformats.org/officeDocument/2006/relationships/hyperlink" Target="https://ozon.ru/t/DlQJk32" TargetMode="External"/><Relationship Id="rId564" Type="http://schemas.openxmlformats.org/officeDocument/2006/relationships/hyperlink" Target="https://www.avito.ru/ekaterinburg/telefony/iphone_x_64_gb_4041354374" TargetMode="External"/><Relationship Id="rId771" Type="http://schemas.openxmlformats.org/officeDocument/2006/relationships/hyperlink" Target="https://www.labirint.ru/books/900710/" TargetMode="External"/><Relationship Id="rId869" Type="http://schemas.openxmlformats.org/officeDocument/2006/relationships/hyperlink" Target="https://wildberries.ru/catalog/244232462/detail.aspx" TargetMode="External"/><Relationship Id="rId424" Type="http://schemas.openxmlformats.org/officeDocument/2006/relationships/hyperlink" Target="https://ozon.ru/t/q968yQn" TargetMode="External"/><Relationship Id="rId631" Type="http://schemas.openxmlformats.org/officeDocument/2006/relationships/hyperlink" Target="https://wildberries.ru/catalog/212222148/detail.aspx" TargetMode="External"/><Relationship Id="rId729" Type="http://schemas.openxmlformats.org/officeDocument/2006/relationships/hyperlink" Target="https://ozon.ru/t/KkQzon4" TargetMode="External"/><Relationship Id="rId1054" Type="http://schemas.openxmlformats.org/officeDocument/2006/relationships/hyperlink" Target="https://www.wildberries.ru/catalog/186007686/detail.aspx" TargetMode="External"/><Relationship Id="rId1261" Type="http://schemas.openxmlformats.org/officeDocument/2006/relationships/hyperlink" Target="https://www.wildberries.ru/catalog/176028235/detail.aspx" TargetMode="External"/><Relationship Id="rId1359" Type="http://schemas.openxmlformats.org/officeDocument/2006/relationships/hyperlink" Target="https://www.wildberries.ru/catalog/259705557/detail.aspx?size=403799025" TargetMode="External"/><Relationship Id="rId936" Type="http://schemas.openxmlformats.org/officeDocument/2006/relationships/hyperlink" Target="https://www.wildberries.ru/catalog/257507298/detail.aspx?targetUrl=SN" TargetMode="External"/><Relationship Id="rId1121" Type="http://schemas.openxmlformats.org/officeDocument/2006/relationships/hyperlink" Target="https://ozon.ru/t/jGE13VD" TargetMode="External"/><Relationship Id="rId1219" Type="http://schemas.openxmlformats.org/officeDocument/2006/relationships/hyperlink" Target="https://ozon.ru/t/6dZzkWq" TargetMode="External"/><Relationship Id="rId65" Type="http://schemas.openxmlformats.org/officeDocument/2006/relationships/hyperlink" Target="https://www.wildberries.ru/catalog/174399672/detail.aspx?size=289164961" TargetMode="External"/><Relationship Id="rId281" Type="http://schemas.openxmlformats.org/officeDocument/2006/relationships/hyperlink" Target="https://www.wildberries.ru/catalog/12872092/detail.aspx?targetUrl=SN" TargetMode="External"/><Relationship Id="rId141" Type="http://schemas.openxmlformats.org/officeDocument/2006/relationships/hyperlink" Target="https://ozon.ru/t/76DM81X" TargetMode="External"/><Relationship Id="rId379" Type="http://schemas.openxmlformats.org/officeDocument/2006/relationships/hyperlink" Target="https://wildberries.ru/catalog/181361185/detail.aspx" TargetMode="External"/><Relationship Id="rId586" Type="http://schemas.openxmlformats.org/officeDocument/2006/relationships/hyperlink" Target="https://ozon.ru/t/GGV9Y5K" TargetMode="External"/><Relationship Id="rId793" Type="http://schemas.openxmlformats.org/officeDocument/2006/relationships/hyperlink" Target="https://www.wildberries.ru/catalog/10733386/detail.aspx?targetUrl=SN" TargetMode="External"/><Relationship Id="rId7" Type="http://schemas.openxmlformats.org/officeDocument/2006/relationships/hyperlink" Target="https://www.wildberries.ru/catalog/29977388/detail.aspx" TargetMode="External"/><Relationship Id="rId239" Type="http://schemas.openxmlformats.org/officeDocument/2006/relationships/hyperlink" Target="https://www.wildberries.ru/catalog/144565977/detail.aspx?targetUrl=SN" TargetMode="External"/><Relationship Id="rId446" Type="http://schemas.openxmlformats.org/officeDocument/2006/relationships/hyperlink" Target="https://ozon.ru/t/GRDjLAl" TargetMode="External"/><Relationship Id="rId653" Type="http://schemas.openxmlformats.org/officeDocument/2006/relationships/hyperlink" Target="https://wildberries.ru/catalog/177384648/detail.aspx" TargetMode="External"/><Relationship Id="rId1076" Type="http://schemas.openxmlformats.org/officeDocument/2006/relationships/hyperlink" Target="https://www.wildberries.ru/catalog/189671883/detail.aspx?size=310410149" TargetMode="External"/><Relationship Id="rId1283" Type="http://schemas.openxmlformats.org/officeDocument/2006/relationships/hyperlink" Target="https://ozon.ru/t/3KmWjJj" TargetMode="External"/><Relationship Id="rId306" Type="http://schemas.openxmlformats.org/officeDocument/2006/relationships/hyperlink" Target="https://ozon.ru/t/VW3EX5" TargetMode="External"/><Relationship Id="rId860" Type="http://schemas.openxmlformats.org/officeDocument/2006/relationships/hyperlink" Target="https://www.wildberries.ru/catalog/30989710/detail.aspx" TargetMode="External"/><Relationship Id="rId958" Type="http://schemas.openxmlformats.org/officeDocument/2006/relationships/hyperlink" Target="https://www.wildberries.ru/catalog/183844425/detail.aspx" TargetMode="External"/><Relationship Id="rId1143" Type="http://schemas.openxmlformats.org/officeDocument/2006/relationships/hyperlink" Target="https://wildberries.ru/catalog/4790546/detail.aspx" TargetMode="External"/><Relationship Id="rId87" Type="http://schemas.openxmlformats.org/officeDocument/2006/relationships/hyperlink" Target="https://www.wildberries.ru/catalog/186853226/detail.aspx" TargetMode="External"/><Relationship Id="rId513" Type="http://schemas.openxmlformats.org/officeDocument/2006/relationships/hyperlink" Target="https://wildberries.ru/catalog/229688334/detail.aspx" TargetMode="External"/><Relationship Id="rId720" Type="http://schemas.openxmlformats.org/officeDocument/2006/relationships/hyperlink" Target="https://ozon.ru/t/pGr52pZ" TargetMode="External"/><Relationship Id="rId818" Type="http://schemas.openxmlformats.org/officeDocument/2006/relationships/hyperlink" Target="https://wildberries.ru/catalog/167591218/detail.aspx" TargetMode="External"/><Relationship Id="rId1350" Type="http://schemas.openxmlformats.org/officeDocument/2006/relationships/hyperlink" Target="https://www.wildberries.ru/catalog/218842859/detail.aspx" TargetMode="External"/><Relationship Id="rId1003" Type="http://schemas.openxmlformats.org/officeDocument/2006/relationships/hyperlink" Target="https://ozon.ru/t/nZ9zKdJ" TargetMode="External"/><Relationship Id="rId1210" Type="http://schemas.openxmlformats.org/officeDocument/2006/relationships/hyperlink" Target="https://www.wildberries.ru/catalog/195723846/detail.aspx?size=317913237" TargetMode="External"/><Relationship Id="rId1308" Type="http://schemas.openxmlformats.org/officeDocument/2006/relationships/hyperlink" Target="https://simvolik.ru/catalog/suveniry-podarki/magnity/magnit-na-kartone-s-rozhdestvom-khristovym-sinichki-90kh95-mm/" TargetMode="External"/><Relationship Id="rId14" Type="http://schemas.openxmlformats.org/officeDocument/2006/relationships/hyperlink" Target="https://www.ozon.ru/product/maska-dlya-suzheniya-por-natura-siberica-bereza-siberica-ochishchayushchaya-75-ml-1125183837/?from=share_android&amp;utm_campaign=productpage_link&amp;utm_medium=share_button&amp;utm_source=smm" TargetMode="External"/><Relationship Id="rId163" Type="http://schemas.openxmlformats.org/officeDocument/2006/relationships/hyperlink" Target="https://ozon.ru/t/26yAVla" TargetMode="External"/><Relationship Id="rId370" Type="http://schemas.openxmlformats.org/officeDocument/2006/relationships/hyperlink" Target="https://ozon.ru/t/LG2YM85" TargetMode="External"/><Relationship Id="rId230" Type="http://schemas.openxmlformats.org/officeDocument/2006/relationships/hyperlink" Target="https://www.wildberries.ru/catalog/117777088/detail.aspx?targetUrl=SN" TargetMode="External"/><Relationship Id="rId468" Type="http://schemas.openxmlformats.org/officeDocument/2006/relationships/hyperlink" Target="https://ozon.ru/t/0RZqBzK" TargetMode="External"/><Relationship Id="rId675" Type="http://schemas.openxmlformats.org/officeDocument/2006/relationships/hyperlink" Target="https://ozon.ru/t/gYZ47YW" TargetMode="External"/><Relationship Id="rId882" Type="http://schemas.openxmlformats.org/officeDocument/2006/relationships/hyperlink" Target="https://www.wildberries.ru/catalog/15646668/detail.aspx?size=45269375" TargetMode="External"/><Relationship Id="rId1098" Type="http://schemas.openxmlformats.org/officeDocument/2006/relationships/hyperlink" Target="https://wildberries.ru/catalog/175145615/detail.aspx" TargetMode="External"/><Relationship Id="rId328" Type="http://schemas.openxmlformats.org/officeDocument/2006/relationships/hyperlink" Target="https://ozon.ru/t/MaB2nY7" TargetMode="External"/><Relationship Id="rId535" Type="http://schemas.openxmlformats.org/officeDocument/2006/relationships/hyperlink" Target="https://ozon.ru/t/A2GBp4E" TargetMode="External"/><Relationship Id="rId742" Type="http://schemas.openxmlformats.org/officeDocument/2006/relationships/hyperlink" Target="https://www.wildberries.ru/catalog/2366942/detail.aspx?targetUrl=SN" TargetMode="External"/><Relationship Id="rId1165" Type="http://schemas.openxmlformats.org/officeDocument/2006/relationships/hyperlink" Target="https://www.wildberries.ru/catalog/235389304/detail.aspx" TargetMode="External"/><Relationship Id="rId1372" Type="http://schemas.openxmlformats.org/officeDocument/2006/relationships/hyperlink" Target="https://www.wildberries.ru/catalog/265988450/detail.aspx?size=412618500" TargetMode="External"/><Relationship Id="rId602" Type="http://schemas.openxmlformats.org/officeDocument/2006/relationships/hyperlink" Target="https://www.wildberries.ru/catalog/158401837/detail.aspx" TargetMode="External"/><Relationship Id="rId1025" Type="http://schemas.openxmlformats.org/officeDocument/2006/relationships/hyperlink" Target="https://www.wildberries.ru/catalog/97625319/detail.aspx?size=154705404" TargetMode="External"/><Relationship Id="rId1232" Type="http://schemas.openxmlformats.org/officeDocument/2006/relationships/hyperlink" Target="https://wildberries.ru/catalog/144631153/detail.aspx" TargetMode="External"/><Relationship Id="rId907" Type="http://schemas.openxmlformats.org/officeDocument/2006/relationships/hyperlink" Target="https://www.wildberries.ru/catalog/177230366/detail.aspx" TargetMode="External"/><Relationship Id="rId36" Type="http://schemas.openxmlformats.org/officeDocument/2006/relationships/hyperlink" Target="https://ozon.ru/t/rLrM1wW" TargetMode="External"/><Relationship Id="rId185" Type="http://schemas.openxmlformats.org/officeDocument/2006/relationships/hyperlink" Target="https://www.wildberries.ru/catalog/93670707/detail.aspx?targetUrl=SN" TargetMode="External"/><Relationship Id="rId392" Type="http://schemas.openxmlformats.org/officeDocument/2006/relationships/hyperlink" Target="https://www.wildberries.ru/catalog/188578583/detail.aspx?targetUrl=SN" TargetMode="External"/><Relationship Id="rId697" Type="http://schemas.openxmlformats.org/officeDocument/2006/relationships/hyperlink" Target="https://www.wildberries.ru/catalog/193608863/detail.aspx" TargetMode="External"/><Relationship Id="rId252" Type="http://schemas.openxmlformats.org/officeDocument/2006/relationships/hyperlink" Target="https://ozon.ru/t/RV9NwV" TargetMode="External"/><Relationship Id="rId1187" Type="http://schemas.openxmlformats.org/officeDocument/2006/relationships/hyperlink" Target="https://wildberries.ru/catalog/238900314/detail.aspx" TargetMode="External"/><Relationship Id="rId112" Type="http://schemas.openxmlformats.org/officeDocument/2006/relationships/hyperlink" Target="https://www.wildberries.ru/catalog/197196906/detail.aspx?targetUrl=SN" TargetMode="External"/><Relationship Id="rId557" Type="http://schemas.openxmlformats.org/officeDocument/2006/relationships/hyperlink" Target="https://ozon.ru/t/BME0WV4" TargetMode="External"/><Relationship Id="rId764" Type="http://schemas.openxmlformats.org/officeDocument/2006/relationships/hyperlink" Target="https://wildberries.ru/catalog/42119854/detail.aspx" TargetMode="External"/><Relationship Id="rId971" Type="http://schemas.openxmlformats.org/officeDocument/2006/relationships/hyperlink" Target="https://ozon.ru/t/BRP3p0g" TargetMode="External"/><Relationship Id="rId417" Type="http://schemas.openxmlformats.org/officeDocument/2006/relationships/hyperlink" Target="https://market.yandex.ru/product--funktsionalnye-petli-rip-60/1914530106?skuId=102263253337&amp;sku=102263253337&amp;uniqueId=43480489&amp;do-waremd5=2Gy5yhh-eUl4iy5q5Ga8UQ" TargetMode="External"/><Relationship Id="rId624" Type="http://schemas.openxmlformats.org/officeDocument/2006/relationships/hyperlink" Target="https://www.ozon.ru/product/1597599326/" TargetMode="External"/><Relationship Id="rId831" Type="http://schemas.openxmlformats.org/officeDocument/2006/relationships/hyperlink" Target="https://www.wildberries.ru/catalog/258489889/detail.aspx" TargetMode="External"/><Relationship Id="rId1047" Type="http://schemas.openxmlformats.org/officeDocument/2006/relationships/hyperlink" Target="https://www.wildberries.ru/catalog/87352903/detail.aspx" TargetMode="External"/><Relationship Id="rId1254" Type="http://schemas.openxmlformats.org/officeDocument/2006/relationships/hyperlink" Target="https://www.wildberries.ru/catalog/148815731/detail.aspx" TargetMode="External"/><Relationship Id="rId929" Type="http://schemas.openxmlformats.org/officeDocument/2006/relationships/hyperlink" Target="https://wildberries.ru/catalog/189489755/detail.aspx" TargetMode="External"/><Relationship Id="rId1114" Type="http://schemas.openxmlformats.org/officeDocument/2006/relationships/hyperlink" Target="https://ozon.ru/t/zl6lQYr" TargetMode="External"/><Relationship Id="rId1321" Type="http://schemas.openxmlformats.org/officeDocument/2006/relationships/hyperlink" Target="https://ozon.ru/t/JeRMAnL" TargetMode="External"/><Relationship Id="rId58" Type="http://schemas.openxmlformats.org/officeDocument/2006/relationships/hyperlink" Target="https://www.wildberries.ru/catalog/198176373/detail.aspx?size=321149429" TargetMode="External"/><Relationship Id="rId274" Type="http://schemas.openxmlformats.org/officeDocument/2006/relationships/hyperlink" Target="http://slovo.net.ru/book/100690" TargetMode="External"/><Relationship Id="rId481" Type="http://schemas.openxmlformats.org/officeDocument/2006/relationships/hyperlink" Target="https://ozon.ru/t/6jwEAjG" TargetMode="External"/><Relationship Id="rId134" Type="http://schemas.openxmlformats.org/officeDocument/2006/relationships/hyperlink" Target="https://ozon.ru/t/39k7Rz9" TargetMode="External"/><Relationship Id="rId579" Type="http://schemas.openxmlformats.org/officeDocument/2006/relationships/hyperlink" Target="https://www.wildberries.ru/catalog/51700007/detail.aspx" TargetMode="External"/><Relationship Id="rId786" Type="http://schemas.openxmlformats.org/officeDocument/2006/relationships/hyperlink" Target="https://ozon.ru/t/rP0n8ew" TargetMode="External"/><Relationship Id="rId993" Type="http://schemas.openxmlformats.org/officeDocument/2006/relationships/hyperlink" Target="https://www.wildberries.ru/catalog/162324898/detail.aspx" TargetMode="External"/><Relationship Id="rId341" Type="http://schemas.openxmlformats.org/officeDocument/2006/relationships/hyperlink" Target="https://ozon.ru/t/GkXpzKj" TargetMode="External"/><Relationship Id="rId439" Type="http://schemas.openxmlformats.org/officeDocument/2006/relationships/hyperlink" Target="https://ozon.ru/t/BkMZy7V" TargetMode="External"/><Relationship Id="rId646" Type="http://schemas.openxmlformats.org/officeDocument/2006/relationships/hyperlink" Target="https://www.wildberries.ru/catalog/14505375/detail.aspx" TargetMode="External"/><Relationship Id="rId1069" Type="http://schemas.openxmlformats.org/officeDocument/2006/relationships/hyperlink" Target="https://wildberries.ru/catalog/171181579/detail.aspx" TargetMode="External"/><Relationship Id="rId1276" Type="http://schemas.openxmlformats.org/officeDocument/2006/relationships/hyperlink" Target="https://ozon.ru/t/pXKzDX" TargetMode="External"/><Relationship Id="rId201" Type="http://schemas.openxmlformats.org/officeDocument/2006/relationships/hyperlink" Target="https://ozon.ru/t/NPEKoeN" TargetMode="External"/><Relationship Id="rId506" Type="http://schemas.openxmlformats.org/officeDocument/2006/relationships/hyperlink" Target="https://wildberries.ru/catalog/169401167/detail.aspx" TargetMode="External"/><Relationship Id="rId853" Type="http://schemas.openxmlformats.org/officeDocument/2006/relationships/hyperlink" Target="https://wildberries.ru/catalog/18286772/detail.aspx" TargetMode="External"/><Relationship Id="rId1136" Type="http://schemas.openxmlformats.org/officeDocument/2006/relationships/hyperlink" Target="https://www.wildberries.ru/catalog/186554250/detail.aspx" TargetMode="External"/><Relationship Id="rId713" Type="http://schemas.openxmlformats.org/officeDocument/2006/relationships/hyperlink" Target="https://www.wildberries.ru/catalog/28015529/detail.aspx?targetUrl=SN" TargetMode="External"/><Relationship Id="rId920" Type="http://schemas.openxmlformats.org/officeDocument/2006/relationships/hyperlink" Target="https://wildberries.ru/catalog/230974249/detail.aspx" TargetMode="External"/><Relationship Id="rId1343" Type="http://schemas.openxmlformats.org/officeDocument/2006/relationships/hyperlink" Target="https://www.wildberries.ru/catalog/288209927/detail.aspx" TargetMode="External"/><Relationship Id="rId1203" Type="http://schemas.openxmlformats.org/officeDocument/2006/relationships/hyperlink" Target="https://wildberries.ru/catalog/265501810/detail.aspx" TargetMode="External"/><Relationship Id="rId296" Type="http://schemas.openxmlformats.org/officeDocument/2006/relationships/hyperlink" Target="https://www.wildberries.ru/catalog/184151297/detail.aspx?targetUrl=SN" TargetMode="External"/><Relationship Id="rId156" Type="http://schemas.openxmlformats.org/officeDocument/2006/relationships/hyperlink" Target="https://www.wildberries.ru/catalog/140972338/detail.aspx?targetUrl=SN" TargetMode="External"/><Relationship Id="rId363" Type="http://schemas.openxmlformats.org/officeDocument/2006/relationships/hyperlink" Target="https://ozon.ru/t/3pMNga9" TargetMode="External"/><Relationship Id="rId570" Type="http://schemas.openxmlformats.org/officeDocument/2006/relationships/hyperlink" Target="https://www.wildberries.ru/catalog/182330743/detail.aspx" TargetMode="External"/><Relationship Id="rId223" Type="http://schemas.openxmlformats.org/officeDocument/2006/relationships/hyperlink" Target="https://ozon.ru/t/jZ9glEy" TargetMode="External"/><Relationship Id="rId430" Type="http://schemas.openxmlformats.org/officeDocument/2006/relationships/hyperlink" Target="https://www.wildberries.ru/catalog/208398574/detail.aspx?targetUrl=SN" TargetMode="External"/><Relationship Id="rId668" Type="http://schemas.openxmlformats.org/officeDocument/2006/relationships/hyperlink" Target="https://www.wildberries.ru/catalog/26048921/detail.aspx?size=60367563" TargetMode="External"/><Relationship Id="rId875" Type="http://schemas.openxmlformats.org/officeDocument/2006/relationships/hyperlink" Target="https://wildberries.ru/catalog/18519775/detail.aspx" TargetMode="External"/><Relationship Id="rId1060" Type="http://schemas.openxmlformats.org/officeDocument/2006/relationships/hyperlink" Target="https://ozon.ru/t/r6qPJWY" TargetMode="External"/><Relationship Id="rId1298" Type="http://schemas.openxmlformats.org/officeDocument/2006/relationships/hyperlink" Target="https://www.wildberries.ru/catalog/262727230/detail.aspx?size=408043840" TargetMode="External"/><Relationship Id="rId528" Type="http://schemas.openxmlformats.org/officeDocument/2006/relationships/hyperlink" Target="https://www.wildberries.ru/catalog/63708377/detail.aspx?targetUrl=EX" TargetMode="External"/><Relationship Id="rId735" Type="http://schemas.openxmlformats.org/officeDocument/2006/relationships/hyperlink" Target="https://www.wildberries.ru/catalog/147553593/detail.aspx?size=248034483" TargetMode="External"/><Relationship Id="rId942" Type="http://schemas.openxmlformats.org/officeDocument/2006/relationships/hyperlink" Target="https://www.wildberries.ru/catalog/254432587/detail.aspx?size=396898931" TargetMode="External"/><Relationship Id="rId1158" Type="http://schemas.openxmlformats.org/officeDocument/2006/relationships/hyperlink" Target="https://ozon.ru/t/Pk1O8Lg" TargetMode="External"/><Relationship Id="rId1365" Type="http://schemas.openxmlformats.org/officeDocument/2006/relationships/hyperlink" Target="https://www.wildberries.ru/catalog/176305926/detail.aspx" TargetMode="External"/><Relationship Id="rId1018" Type="http://schemas.openxmlformats.org/officeDocument/2006/relationships/hyperlink" Target="https://ozon.ru/t/Nl9kewp" TargetMode="External"/><Relationship Id="rId1225" Type="http://schemas.openxmlformats.org/officeDocument/2006/relationships/hyperlink" Target="https://ozon.ru/t/QVDNRW9" TargetMode="External"/><Relationship Id="rId71" Type="http://schemas.openxmlformats.org/officeDocument/2006/relationships/hyperlink" Target="https://www.wildberries.ru/catalog/205408071/detail.aspx?targetUrl=SN" TargetMode="External"/><Relationship Id="rId802" Type="http://schemas.openxmlformats.org/officeDocument/2006/relationships/hyperlink" Target="https://ozon.ru/t/ZbL6D2" TargetMode="External"/><Relationship Id="rId29" Type="http://schemas.openxmlformats.org/officeDocument/2006/relationships/hyperlink" Target="https://www.ozon.ru/product/kislorodnyy-ochistitel-brandfree-1-kg-pyatnovyvoditel-dlya-belogo-tsvetnogo-belya-655295171/?from=share_android&amp;utm_campaign=productpage_link&amp;utm_medium=share_button&amp;utm_source=smm" TargetMode="External"/><Relationship Id="rId178" Type="http://schemas.openxmlformats.org/officeDocument/2006/relationships/hyperlink" Target="https://www.wildberries.ru/catalog/143734404/detail.aspx?targetUrl=SN" TargetMode="External"/><Relationship Id="rId385" Type="http://schemas.openxmlformats.org/officeDocument/2006/relationships/hyperlink" Target="https://ozon.ru/t/QgNlwBp" TargetMode="External"/><Relationship Id="rId592" Type="http://schemas.openxmlformats.org/officeDocument/2006/relationships/hyperlink" Target="https://www.wildberries.ru/catalog/18324739/detail.aspx" TargetMode="External"/><Relationship Id="rId245" Type="http://schemas.openxmlformats.org/officeDocument/2006/relationships/hyperlink" Target="https://www.wildberries.ru/catalog/91869468/detail.aspx?targetUrl=SN" TargetMode="External"/><Relationship Id="rId452" Type="http://schemas.openxmlformats.org/officeDocument/2006/relationships/hyperlink" Target="https://ozon.ru/t/X9wnDMw" TargetMode="External"/><Relationship Id="rId897" Type="http://schemas.openxmlformats.org/officeDocument/2006/relationships/hyperlink" Target="https://ozon.ru/t/V76olb8" TargetMode="External"/><Relationship Id="rId1082" Type="http://schemas.openxmlformats.org/officeDocument/2006/relationships/hyperlink" Target="https://wildberries.ru/catalog/239565970/detail.aspx" TargetMode="External"/><Relationship Id="rId105" Type="http://schemas.openxmlformats.org/officeDocument/2006/relationships/hyperlink" Target="https://www.wildberries.ru/catalog/110794179/detail.aspx" TargetMode="External"/><Relationship Id="rId312" Type="http://schemas.openxmlformats.org/officeDocument/2006/relationships/hyperlink" Target="https://ozon.ru/t/Pj8Mry" TargetMode="External"/><Relationship Id="rId757" Type="http://schemas.openxmlformats.org/officeDocument/2006/relationships/hyperlink" Target="https://www.wildberries.ru/catalog/251115426/detail.aspx" TargetMode="External"/><Relationship Id="rId964" Type="http://schemas.openxmlformats.org/officeDocument/2006/relationships/hyperlink" Target="https://wildberries.ru/catalog/241884002/detail.aspx" TargetMode="External"/><Relationship Id="rId93" Type="http://schemas.openxmlformats.org/officeDocument/2006/relationships/hyperlink" Target="https://ozon.ru/t/kX4jVJW" TargetMode="External"/><Relationship Id="rId617" Type="http://schemas.openxmlformats.org/officeDocument/2006/relationships/hyperlink" Target="https://avito.ru/3090365924" TargetMode="External"/><Relationship Id="rId824" Type="http://schemas.openxmlformats.org/officeDocument/2006/relationships/hyperlink" Target="https://wildberries.ru/catalog/155347079/detail.aspx" TargetMode="External"/><Relationship Id="rId1247" Type="http://schemas.openxmlformats.org/officeDocument/2006/relationships/hyperlink" Target="https://wildberries.ru/catalog/236562548/detail.aspx" TargetMode="External"/><Relationship Id="rId1107" Type="http://schemas.openxmlformats.org/officeDocument/2006/relationships/hyperlink" Target="https://www.wildberries.ru/catalog/235454461/detail.aspx" TargetMode="External"/><Relationship Id="rId1314" Type="http://schemas.openxmlformats.org/officeDocument/2006/relationships/hyperlink" Target="https://zyorna.ru/catalog/item/magnit-s-epoksidnoj-smoloj-novogodnyaya-noch-5-h-5-sm-105001" TargetMode="External"/><Relationship Id="rId20" Type="http://schemas.openxmlformats.org/officeDocument/2006/relationships/hyperlink" Target="https://www.ozon.ru/product/sumka-na-plecho-kross-bodi-1430685596/" TargetMode="External"/><Relationship Id="rId267" Type="http://schemas.openxmlformats.org/officeDocument/2006/relationships/hyperlink" Target="https://www.wildberries.ru/catalog/206733758/detail.aspx?targetUrl=SN" TargetMode="External"/><Relationship Id="rId474" Type="http://schemas.openxmlformats.org/officeDocument/2006/relationships/hyperlink" Target="https://ozon.ru/t/0RZqaqr" TargetMode="External"/><Relationship Id="rId127" Type="http://schemas.openxmlformats.org/officeDocument/2006/relationships/hyperlink" Target="https://www.avito.ru/moskva/tovary_dlya_detey_i_igrushki/detskiy_graficheskiy_planshet_85_dyuyma_3474958946" TargetMode="External"/><Relationship Id="rId681" Type="http://schemas.openxmlformats.org/officeDocument/2006/relationships/hyperlink" Target="https://www.wildberries.ru/catalog/14195567/detail.aspx?targetUrl=SG" TargetMode="External"/><Relationship Id="rId779" Type="http://schemas.openxmlformats.org/officeDocument/2006/relationships/hyperlink" Target="https://www.chitai-gorod.ru/product/enciklopediya-horoshego-povedeniya-dlya-malyshey-v-skazkah-2600597" TargetMode="External"/><Relationship Id="rId986" Type="http://schemas.openxmlformats.org/officeDocument/2006/relationships/hyperlink" Target="https://ozon.ru/t/eYX1432" TargetMode="External"/><Relationship Id="rId334" Type="http://schemas.openxmlformats.org/officeDocument/2006/relationships/hyperlink" Target="https://ozon.ru/t/BGX5YPP" TargetMode="External"/><Relationship Id="rId541" Type="http://schemas.openxmlformats.org/officeDocument/2006/relationships/hyperlink" Target="https://www.wildberries.ru/catalog/220079307/detail.aspx?size=349944750" TargetMode="External"/><Relationship Id="rId639" Type="http://schemas.openxmlformats.org/officeDocument/2006/relationships/hyperlink" Target="https://wildberries.ru/catalog/160551600/detail.aspx" TargetMode="External"/><Relationship Id="rId1171" Type="http://schemas.openxmlformats.org/officeDocument/2006/relationships/hyperlink" Target="https://www.wildberries.ru/catalog/182780838/detail.aspx?size=301427003" TargetMode="External"/><Relationship Id="rId1269" Type="http://schemas.openxmlformats.org/officeDocument/2006/relationships/hyperlink" Target="https://www.wildberries.ru/catalog/272789911/detail.aspx?targetUrl=SG" TargetMode="External"/><Relationship Id="rId401" Type="http://schemas.openxmlformats.org/officeDocument/2006/relationships/hyperlink" Target="https://ozon.ru/t/GoWnQZV" TargetMode="External"/><Relationship Id="rId846" Type="http://schemas.openxmlformats.org/officeDocument/2006/relationships/hyperlink" Target="https://ozon.ru/t/N8wQLDO" TargetMode="External"/><Relationship Id="rId1031" Type="http://schemas.openxmlformats.org/officeDocument/2006/relationships/hyperlink" Target="https://www.wildberries.ru/catalog/225772401/detail.aspx?size=357604145" TargetMode="External"/><Relationship Id="rId1129" Type="http://schemas.openxmlformats.org/officeDocument/2006/relationships/hyperlink" Target="https://ozon.ru/t/1zdqax2" TargetMode="External"/><Relationship Id="rId706" Type="http://schemas.openxmlformats.org/officeDocument/2006/relationships/hyperlink" Target="https://ozon.ru/t/22PjygB" TargetMode="External"/><Relationship Id="rId913" Type="http://schemas.openxmlformats.org/officeDocument/2006/relationships/hyperlink" Target="https://www.wildberries.ru/catalog/229257628/detail.aspx" TargetMode="External"/><Relationship Id="rId1336" Type="http://schemas.openxmlformats.org/officeDocument/2006/relationships/hyperlink" Target="https://www.wildberries.ru/catalog/140282220/detail.aspx?size=237904274" TargetMode="External"/><Relationship Id="rId42" Type="http://schemas.openxmlformats.org/officeDocument/2006/relationships/hyperlink" Target="https://www.wildberries.ru/catalog/68397520/detail.aspx?targetUrl=SN" TargetMode="External"/><Relationship Id="rId191" Type="http://schemas.openxmlformats.org/officeDocument/2006/relationships/hyperlink" Target="https://ozon.ru/t/39XVXar" TargetMode="External"/><Relationship Id="rId289" Type="http://schemas.openxmlformats.org/officeDocument/2006/relationships/hyperlink" Target="https://ozon.ru/t/aaKa5M" TargetMode="External"/><Relationship Id="rId496" Type="http://schemas.openxmlformats.org/officeDocument/2006/relationships/hyperlink" Target="https://ozon.ru/t/BwXMGVP" TargetMode="External"/><Relationship Id="rId149" Type="http://schemas.openxmlformats.org/officeDocument/2006/relationships/hyperlink" Target="https://ozon.ru/t/86LQYpz" TargetMode="External"/><Relationship Id="rId356" Type="http://schemas.openxmlformats.org/officeDocument/2006/relationships/hyperlink" Target="https://ozon.ru/t/4rpX0Pl" TargetMode="External"/><Relationship Id="rId563" Type="http://schemas.openxmlformats.org/officeDocument/2006/relationships/hyperlink" Target="https://wildberries.ru/catalog/18373601/detail.aspx" TargetMode="External"/><Relationship Id="rId770" Type="http://schemas.openxmlformats.org/officeDocument/2006/relationships/hyperlink" Target="https://ozon.ru/t/NPzG80r" TargetMode="External"/><Relationship Id="rId1193" Type="http://schemas.openxmlformats.org/officeDocument/2006/relationships/hyperlink" Target="https://ozon.ru/t/Wx31l1z" TargetMode="External"/><Relationship Id="rId216" Type="http://schemas.openxmlformats.org/officeDocument/2006/relationships/hyperlink" Target="https://ozon.ru/t/wXnR3qo" TargetMode="External"/><Relationship Id="rId423" Type="http://schemas.openxmlformats.org/officeDocument/2006/relationships/hyperlink" Target="https://ozon.ru/t/N3wALpJ" TargetMode="External"/><Relationship Id="rId868" Type="http://schemas.openxmlformats.org/officeDocument/2006/relationships/hyperlink" Target="https://wildberries.ru/catalog/144343597/detail.aspx" TargetMode="External"/><Relationship Id="rId1053" Type="http://schemas.openxmlformats.org/officeDocument/2006/relationships/hyperlink" Target="https://www.wildberries.ru/catalog/138027100/detail.aspx" TargetMode="External"/><Relationship Id="rId1260" Type="http://schemas.openxmlformats.org/officeDocument/2006/relationships/hyperlink" Target="https://www.wildberries.ru/catalog/276474211/detail.aspx" TargetMode="External"/><Relationship Id="rId630" Type="http://schemas.openxmlformats.org/officeDocument/2006/relationships/hyperlink" Target="https://wildberries.ru/catalog/208932030/detail.aspx" TargetMode="External"/><Relationship Id="rId728" Type="http://schemas.openxmlformats.org/officeDocument/2006/relationships/hyperlink" Target="https://www.ozon.ru/product/kurtka-dzhinsovaya-yarmarka-palto-1001860369/?from_sku=1001864298&amp;oos_search=false" TargetMode="External"/><Relationship Id="rId935" Type="http://schemas.openxmlformats.org/officeDocument/2006/relationships/hyperlink" Target="https://www.wildberries.ru/catalog/247981971/detail.aspx?targetUrl=SN" TargetMode="External"/><Relationship Id="rId1358" Type="http://schemas.openxmlformats.org/officeDocument/2006/relationships/hyperlink" Target="https://wildberries.ru/catalog/217093236/detail.aspx" TargetMode="External"/><Relationship Id="rId64" Type="http://schemas.openxmlformats.org/officeDocument/2006/relationships/hyperlink" Target="https://www.wildberries.ru/catalog/16072264/detail.aspx?size=46047034" TargetMode="External"/><Relationship Id="rId1120" Type="http://schemas.openxmlformats.org/officeDocument/2006/relationships/hyperlink" Target="https://ozon.ru/t/xKB3AAR" TargetMode="External"/><Relationship Id="rId1218" Type="http://schemas.openxmlformats.org/officeDocument/2006/relationships/hyperlink" Target="https://ozon.ru/t/bAnlMYO" TargetMode="External"/><Relationship Id="rId280" Type="http://schemas.openxmlformats.org/officeDocument/2006/relationships/hyperlink" Target="https://www.wildberries.ru/catalog/12683332/detail.aspx?targetUrl=SN" TargetMode="External"/><Relationship Id="rId140" Type="http://schemas.openxmlformats.org/officeDocument/2006/relationships/hyperlink" Target="https://ozon.ru/t/e7Z8egb" TargetMode="External"/><Relationship Id="rId378" Type="http://schemas.openxmlformats.org/officeDocument/2006/relationships/hyperlink" Target="https://wildberries.ru/catalog/220521672/detail.aspx" TargetMode="External"/><Relationship Id="rId585" Type="http://schemas.openxmlformats.org/officeDocument/2006/relationships/hyperlink" Target="https://ozon.ru/t/JzVRZQ7" TargetMode="External"/><Relationship Id="rId792" Type="http://schemas.openxmlformats.org/officeDocument/2006/relationships/hyperlink" Target="https://ozon.ru/t/e7V4Qqe" TargetMode="External"/><Relationship Id="rId6" Type="http://schemas.openxmlformats.org/officeDocument/2006/relationships/hyperlink" Target="https://www.wildberries.ru/catalog/191461719/detail.aspx" TargetMode="External"/><Relationship Id="rId238" Type="http://schemas.openxmlformats.org/officeDocument/2006/relationships/hyperlink" Target="https://ozon.ru/t/g9Xk4b" TargetMode="External"/><Relationship Id="rId445" Type="http://schemas.openxmlformats.org/officeDocument/2006/relationships/hyperlink" Target="https://wildberries.ru/catalog/237177570/detail.aspx" TargetMode="External"/><Relationship Id="rId652" Type="http://schemas.openxmlformats.org/officeDocument/2006/relationships/hyperlink" Target="https://ozon.ru/t/PYBKGeV" TargetMode="External"/><Relationship Id="rId1075" Type="http://schemas.openxmlformats.org/officeDocument/2006/relationships/hyperlink" Target="https://www.wildberries.ru/catalog/209888305/detail.aspx?size=336055891" TargetMode="External"/><Relationship Id="rId1282" Type="http://schemas.openxmlformats.org/officeDocument/2006/relationships/hyperlink" Target="https://ozon.ru/t/3VVMyMK" TargetMode="External"/><Relationship Id="rId305" Type="http://schemas.openxmlformats.org/officeDocument/2006/relationships/hyperlink" Target="https://ozon.ru/t/jL09Nw" TargetMode="External"/><Relationship Id="rId512" Type="http://schemas.openxmlformats.org/officeDocument/2006/relationships/hyperlink" Target="https://wildberries.ru/catalog/18373593/detail.aspx" TargetMode="External"/><Relationship Id="rId957" Type="http://schemas.openxmlformats.org/officeDocument/2006/relationships/hyperlink" Target="https://wildberries.ru/catalog/247657163/detail.aspx" TargetMode="External"/><Relationship Id="rId1142" Type="http://schemas.openxmlformats.org/officeDocument/2006/relationships/hyperlink" Target="https://wildberries.ru/catalog/14380746/detail.aspx" TargetMode="External"/><Relationship Id="rId86" Type="http://schemas.openxmlformats.org/officeDocument/2006/relationships/hyperlink" Target="https://www.wildberries.ru/catalog/207863959/detail.aspx?size=333313649" TargetMode="External"/><Relationship Id="rId817" Type="http://schemas.openxmlformats.org/officeDocument/2006/relationships/hyperlink" Target="https://wildberries.ru/catalog/198172058/detail.aspx" TargetMode="External"/><Relationship Id="rId1002" Type="http://schemas.openxmlformats.org/officeDocument/2006/relationships/hyperlink" Target="https://ozon.ru/t/78v1O3X" TargetMode="External"/><Relationship Id="rId1307" Type="http://schemas.openxmlformats.org/officeDocument/2006/relationships/hyperlink" Target="https://simvolik.ru/catalog/dlya-semeynogo-dosuga/pazly/pazl-magnitnyy-95kh120-mm-rkh-troyka-noch-derevnya-/" TargetMode="External"/><Relationship Id="rId13" Type="http://schemas.openxmlformats.org/officeDocument/2006/relationships/hyperlink" Target="https://www.ozon.ru/product/nitkovdevatel-dlya-igolki-nitevdevatel-dlya-shveynoy-mashiny-10-sht-1313914160/?from=share_android&amp;utm_campaign=productpage_link&amp;utm_medium=share_button&amp;utm_source=smm" TargetMode="External"/><Relationship Id="rId162" Type="http://schemas.openxmlformats.org/officeDocument/2006/relationships/hyperlink" Target="https://ozon.ru/t/y5P3J4E" TargetMode="External"/><Relationship Id="rId467" Type="http://schemas.openxmlformats.org/officeDocument/2006/relationships/hyperlink" Target="https://ozon.ru/t/z5Dq18W" TargetMode="External"/><Relationship Id="rId1097" Type="http://schemas.openxmlformats.org/officeDocument/2006/relationships/hyperlink" Target="https://wildberries.ru/catalog/18979015/detail.aspx" TargetMode="External"/><Relationship Id="rId674" Type="http://schemas.openxmlformats.org/officeDocument/2006/relationships/hyperlink" Target="https://ozon.ru/t/0lXlzYw" TargetMode="External"/><Relationship Id="rId881" Type="http://schemas.openxmlformats.org/officeDocument/2006/relationships/hyperlink" Target="https://www.wildberries.ru/catalog/159952818/detail.aspx?size=265968712" TargetMode="External"/><Relationship Id="rId979" Type="http://schemas.openxmlformats.org/officeDocument/2006/relationships/hyperlink" Target="https://www.wildberries.ru/catalog/146160800/detail.aspx?targetUrl=SN" TargetMode="External"/><Relationship Id="rId327" Type="http://schemas.openxmlformats.org/officeDocument/2006/relationships/hyperlink" Target="https://ozon.ru/t/y0DN97Y" TargetMode="External"/><Relationship Id="rId534" Type="http://schemas.openxmlformats.org/officeDocument/2006/relationships/hyperlink" Target="https://wildberries.ru/catalog/161881450/detail.aspx" TargetMode="External"/><Relationship Id="rId741" Type="http://schemas.openxmlformats.org/officeDocument/2006/relationships/hyperlink" Target="https://ozon.ru/t/XGlX6GW" TargetMode="External"/><Relationship Id="rId839" Type="http://schemas.openxmlformats.org/officeDocument/2006/relationships/hyperlink" Target="https://www.wildberries.ru/catalog/218315258/detail.aspx" TargetMode="External"/><Relationship Id="rId1164" Type="http://schemas.openxmlformats.org/officeDocument/2006/relationships/hyperlink" Target="https://www.wildberries.ru/catalog/225147786/detail.aspx" TargetMode="External"/><Relationship Id="rId1371" Type="http://schemas.openxmlformats.org/officeDocument/2006/relationships/hyperlink" Target="https://wildberries.ru/catalog/176796572/detail.aspx" TargetMode="External"/><Relationship Id="rId601" Type="http://schemas.openxmlformats.org/officeDocument/2006/relationships/hyperlink" Target="https://www.wildberries.ru/catalog/228123476/detail.aspx" TargetMode="External"/><Relationship Id="rId1024" Type="http://schemas.openxmlformats.org/officeDocument/2006/relationships/hyperlink" Target="https://www.wildberries.ru/catalog/162337219/detail.aspx?targetUrl=SN" TargetMode="External"/><Relationship Id="rId1231" Type="http://schemas.openxmlformats.org/officeDocument/2006/relationships/hyperlink" Target="https://wildberries.ru/catalog/33118723/detail.aspx" TargetMode="External"/><Relationship Id="rId906" Type="http://schemas.openxmlformats.org/officeDocument/2006/relationships/hyperlink" Target="https://www.wildberries.ru/catalog/243224207/detail.aspx" TargetMode="External"/><Relationship Id="rId1329" Type="http://schemas.openxmlformats.org/officeDocument/2006/relationships/hyperlink" Target="https://ozon.ru/t/DbKvLEK" TargetMode="External"/><Relationship Id="rId35" Type="http://schemas.openxmlformats.org/officeDocument/2006/relationships/hyperlink" Target="https://ozon.ru/t/ZkGMNa2" TargetMode="External"/><Relationship Id="rId184" Type="http://schemas.openxmlformats.org/officeDocument/2006/relationships/hyperlink" Target="https://www.wildberries.ru/catalog/112132262/detail.aspx?targetUrl=SN" TargetMode="External"/><Relationship Id="rId391" Type="http://schemas.openxmlformats.org/officeDocument/2006/relationships/hyperlink" Target="https://ozon.ru/t/kr7bNok" TargetMode="External"/><Relationship Id="rId251" Type="http://schemas.openxmlformats.org/officeDocument/2006/relationships/hyperlink" Target="https://ozon.ru/t/VwkbLL" TargetMode="External"/><Relationship Id="rId489" Type="http://schemas.openxmlformats.org/officeDocument/2006/relationships/hyperlink" Target="https://wildberries.ru/catalog/227605271/detail.aspx" TargetMode="External"/><Relationship Id="rId696" Type="http://schemas.openxmlformats.org/officeDocument/2006/relationships/hyperlink" Target="https://www.wildberries.ru/catalog/98427874/detail.aspx" TargetMode="External"/><Relationship Id="rId349" Type="http://schemas.openxmlformats.org/officeDocument/2006/relationships/hyperlink" Target="https://ozon.ru/t/3B7YWbb" TargetMode="External"/><Relationship Id="rId556" Type="http://schemas.openxmlformats.org/officeDocument/2006/relationships/hyperlink" Target="https://www.wildberries.ru/catalog/165819262/detail.aspx" TargetMode="External"/><Relationship Id="rId763" Type="http://schemas.openxmlformats.org/officeDocument/2006/relationships/hyperlink" Target="https://wildberries.ru/catalog/35412671/detail.aspx" TargetMode="External"/><Relationship Id="rId1186" Type="http://schemas.openxmlformats.org/officeDocument/2006/relationships/hyperlink" Target="https://www.wildberries.ru/catalog/12886978/detail.aspx" TargetMode="External"/><Relationship Id="rId111" Type="http://schemas.openxmlformats.org/officeDocument/2006/relationships/hyperlink" Target="https://www.wildberries.ru/catalog/210492245/detail.aspx?targetUrl=SN" TargetMode="External"/><Relationship Id="rId195" Type="http://schemas.openxmlformats.org/officeDocument/2006/relationships/hyperlink" Target="https://ozon.ru/t/0qgZdjL" TargetMode="External"/><Relationship Id="rId209" Type="http://schemas.openxmlformats.org/officeDocument/2006/relationships/hyperlink" Target="https://ozon.ru/t/ElL32gB" TargetMode="External"/><Relationship Id="rId416" Type="http://schemas.openxmlformats.org/officeDocument/2006/relationships/hyperlink" Target="https://www.wildberries.ru/catalog/15345433/detail.aspx" TargetMode="External"/><Relationship Id="rId970" Type="http://schemas.openxmlformats.org/officeDocument/2006/relationships/hyperlink" Target="https://ozon.ru/t/Lp7x2L1" TargetMode="External"/><Relationship Id="rId1046" Type="http://schemas.openxmlformats.org/officeDocument/2006/relationships/hyperlink" Target="https://www.wildberries.ru/catalog/183824856/detail.aspx" TargetMode="External"/><Relationship Id="rId1253" Type="http://schemas.openxmlformats.org/officeDocument/2006/relationships/hyperlink" Target="https://www.wildberries.ru/catalog/184504191/detail.aspx" TargetMode="External"/><Relationship Id="rId623" Type="http://schemas.openxmlformats.org/officeDocument/2006/relationships/hyperlink" Target="https://ozon.ru/t/ZLKerAP" TargetMode="External"/><Relationship Id="rId830" Type="http://schemas.openxmlformats.org/officeDocument/2006/relationships/hyperlink" Target="https://www.wildberries.ru/catalog/33586026/detail.aspx" TargetMode="External"/><Relationship Id="rId928" Type="http://schemas.openxmlformats.org/officeDocument/2006/relationships/hyperlink" Target="https://wildberries.ru/catalog/163357005/detail.aspx" TargetMode="External"/><Relationship Id="rId57" Type="http://schemas.openxmlformats.org/officeDocument/2006/relationships/hyperlink" Target="https://ozon.ru/t/Elzewel" TargetMode="External"/><Relationship Id="rId262" Type="http://schemas.openxmlformats.org/officeDocument/2006/relationships/hyperlink" Target="https://ozon.ru/t/6P2NVk" TargetMode="External"/><Relationship Id="rId567" Type="http://schemas.openxmlformats.org/officeDocument/2006/relationships/hyperlink" Target="https://www.wildberries.ru/catalog/119794060/detail.aspx" TargetMode="External"/><Relationship Id="rId1113" Type="http://schemas.openxmlformats.org/officeDocument/2006/relationships/hyperlink" Target="https://www.wildberries.ru/catalog/257146705/detail.aspx" TargetMode="External"/><Relationship Id="rId1197" Type="http://schemas.openxmlformats.org/officeDocument/2006/relationships/hyperlink" Target="https://www.wildberries.ru/catalog/210103542/detail.aspx?size=336328653" TargetMode="External"/><Relationship Id="rId1320" Type="http://schemas.openxmlformats.org/officeDocument/2006/relationships/hyperlink" Target="https://ozon.ru/t/yzvm5RP" TargetMode="External"/><Relationship Id="rId122" Type="http://schemas.openxmlformats.org/officeDocument/2006/relationships/hyperlink" Target="https://www.avito.ru/moskva/zapchasti_i_aksessuary/blok_predohraniteley_dlya_peugeot-citroen_c5_1_3839720661" TargetMode="External"/><Relationship Id="rId774" Type="http://schemas.openxmlformats.org/officeDocument/2006/relationships/hyperlink" Target="https://ozon.ru/t/Zngrkdz" TargetMode="External"/><Relationship Id="rId981" Type="http://schemas.openxmlformats.org/officeDocument/2006/relationships/hyperlink" Target="https://wildberries.ru/catalog/221711548/detail.aspx" TargetMode="External"/><Relationship Id="rId1057" Type="http://schemas.openxmlformats.org/officeDocument/2006/relationships/hyperlink" Target="https://ozon.ru/t/Nmp78B" TargetMode="External"/><Relationship Id="rId427" Type="http://schemas.openxmlformats.org/officeDocument/2006/relationships/hyperlink" Target="https://www.wildberries.ru/catalog/23652703/detail.aspx" TargetMode="External"/><Relationship Id="rId634" Type="http://schemas.openxmlformats.org/officeDocument/2006/relationships/hyperlink" Target="https://ozon.ru/t/9KK8N07" TargetMode="External"/><Relationship Id="rId841" Type="http://schemas.openxmlformats.org/officeDocument/2006/relationships/hyperlink" Target="https://www.wildberries.ru/catalog/32550266/detail.aspx" TargetMode="External"/><Relationship Id="rId1264" Type="http://schemas.openxmlformats.org/officeDocument/2006/relationships/hyperlink" Target="https://www.wildberries.ru/catalog/177359621/detail.aspx?size=293694438" TargetMode="External"/><Relationship Id="rId273" Type="http://schemas.openxmlformats.org/officeDocument/2006/relationships/hyperlink" Target="http://slovo.net.ru/book/72191/" TargetMode="External"/><Relationship Id="rId480" Type="http://schemas.openxmlformats.org/officeDocument/2006/relationships/hyperlink" Target="https://ozon.ru/t/W2bXw4w" TargetMode="External"/><Relationship Id="rId701" Type="http://schemas.openxmlformats.org/officeDocument/2006/relationships/hyperlink" Target="https://www.wildberries.ru/catalog/183963861/detail.aspx?targetUrl=SN" TargetMode="External"/><Relationship Id="rId939" Type="http://schemas.openxmlformats.org/officeDocument/2006/relationships/hyperlink" Target="https://wildberries.ru/catalog/140992832/detail.aspx" TargetMode="External"/><Relationship Id="rId1124" Type="http://schemas.openxmlformats.org/officeDocument/2006/relationships/hyperlink" Target="https://ozon.ru/t/ZZZ2WN1" TargetMode="External"/><Relationship Id="rId1331" Type="http://schemas.openxmlformats.org/officeDocument/2006/relationships/hyperlink" Target="https://www.wildberries.ru/catalog/254560986/detail.aspx?size=397067060" TargetMode="External"/><Relationship Id="rId68" Type="http://schemas.openxmlformats.org/officeDocument/2006/relationships/hyperlink" Target="https://ozon.ru/t/0qWX8qL" TargetMode="External"/><Relationship Id="rId133" Type="http://schemas.openxmlformats.org/officeDocument/2006/relationships/hyperlink" Target="https://ozon.ru/t/Q2yPjpr" TargetMode="External"/><Relationship Id="rId340" Type="http://schemas.openxmlformats.org/officeDocument/2006/relationships/hyperlink" Target="https://ozon.ru/t/z0WdX9R" TargetMode="External"/><Relationship Id="rId578" Type="http://schemas.openxmlformats.org/officeDocument/2006/relationships/hyperlink" Target="https://www.wildberries.ru/catalog/12981663/detail.aspx" TargetMode="External"/><Relationship Id="rId785" Type="http://schemas.openxmlformats.org/officeDocument/2006/relationships/hyperlink" Target="https://detki-online.com/catalog/khobbi_i_tvorchestvo/knigi/knizhka_entsiklopediya_krasnaya_kniga_365_faktov_197_mm_kh_255_mm_64_stranitsy/" TargetMode="External"/><Relationship Id="rId992" Type="http://schemas.openxmlformats.org/officeDocument/2006/relationships/hyperlink" Target="https://www.wildberries.ru/catalog/216248032/detail.aspx" TargetMode="External"/><Relationship Id="rId200" Type="http://schemas.openxmlformats.org/officeDocument/2006/relationships/hyperlink" Target="https://ozon.ru/t/460MEl6" TargetMode="External"/><Relationship Id="rId438" Type="http://schemas.openxmlformats.org/officeDocument/2006/relationships/hyperlink" Target="https://ozon.ru/t/DDzQA5Z" TargetMode="External"/><Relationship Id="rId645" Type="http://schemas.openxmlformats.org/officeDocument/2006/relationships/hyperlink" Target="https://www.wildberries.ru/catalog/74230848/detail.aspx" TargetMode="External"/><Relationship Id="rId852" Type="http://schemas.openxmlformats.org/officeDocument/2006/relationships/hyperlink" Target="https://wildberries.ru/catalog/238007765/detail.aspx" TargetMode="External"/><Relationship Id="rId1068" Type="http://schemas.openxmlformats.org/officeDocument/2006/relationships/hyperlink" Target="https://ozon.ru/t/EmmBLzZ" TargetMode="External"/><Relationship Id="rId1275" Type="http://schemas.openxmlformats.org/officeDocument/2006/relationships/hyperlink" Target="https://ozon.ru/t/05v6RA3" TargetMode="External"/><Relationship Id="rId284" Type="http://schemas.openxmlformats.org/officeDocument/2006/relationships/hyperlink" Target="https://www.wildberries.ru/catalog/223186484/detail.aspx?targetUrl=SN" TargetMode="External"/><Relationship Id="rId491" Type="http://schemas.openxmlformats.org/officeDocument/2006/relationships/hyperlink" Target="https://ozon.ru/t/W3N3E9q" TargetMode="External"/><Relationship Id="rId505" Type="http://schemas.openxmlformats.org/officeDocument/2006/relationships/hyperlink" Target="https://wildberries.ru/catalog/9731418/detail.aspx" TargetMode="External"/><Relationship Id="rId712" Type="http://schemas.openxmlformats.org/officeDocument/2006/relationships/hyperlink" Target="https://www.wildberries.ru/catalog/170739275/detail.aspx?targetUrl=MS&amp;size=283472386" TargetMode="External"/><Relationship Id="rId1135" Type="http://schemas.openxmlformats.org/officeDocument/2006/relationships/hyperlink" Target="https://www.wildberries.ru/catalog/153820322/detail.aspx" TargetMode="External"/><Relationship Id="rId1342" Type="http://schemas.openxmlformats.org/officeDocument/2006/relationships/hyperlink" Target="https://www.wildberries.ru/catalog/192665778/detail.aspx" TargetMode="External"/><Relationship Id="rId79" Type="http://schemas.openxmlformats.org/officeDocument/2006/relationships/hyperlink" Target="https://www.wildberries.ru/catalog/154648647/detail.aspx?size=258233937" TargetMode="External"/><Relationship Id="rId144" Type="http://schemas.openxmlformats.org/officeDocument/2006/relationships/hyperlink" Target="https://lillu.ru/kniga-detskaya-krotik-i-zontik-i-drugie-istorii-zdeneka-millera-seriya-detskaya-biblioteka-rosmen-novaya-rosmen-08352-8/" TargetMode="External"/><Relationship Id="rId589" Type="http://schemas.openxmlformats.org/officeDocument/2006/relationships/hyperlink" Target="https://ozon.ru/t/dwznKEV" TargetMode="External"/><Relationship Id="rId796" Type="http://schemas.openxmlformats.org/officeDocument/2006/relationships/hyperlink" Target="https://ozon.ru/t/daJrnrG" TargetMode="External"/><Relationship Id="rId1202" Type="http://schemas.openxmlformats.org/officeDocument/2006/relationships/hyperlink" Target="https://www.wildberries.ru/catalog/170510916/detail.aspx?size=283120123" TargetMode="External"/><Relationship Id="rId351" Type="http://schemas.openxmlformats.org/officeDocument/2006/relationships/hyperlink" Target="https://www.wildberries.ru/catalog/164005437/detail.aspx?targetUrl=SN" TargetMode="External"/><Relationship Id="rId449" Type="http://schemas.openxmlformats.org/officeDocument/2006/relationships/hyperlink" Target="https://wildberries.ru/catalog/199752741/detail.aspx" TargetMode="External"/><Relationship Id="rId656" Type="http://schemas.openxmlformats.org/officeDocument/2006/relationships/hyperlink" Target="https://ozon.ru/t/4Ggp7Vl" TargetMode="External"/><Relationship Id="rId863" Type="http://schemas.openxmlformats.org/officeDocument/2006/relationships/hyperlink" Target="https://www.wildberries.ru/catalog/148351640/detail.aspx" TargetMode="External"/><Relationship Id="rId1079" Type="http://schemas.openxmlformats.org/officeDocument/2006/relationships/hyperlink" Target="https://wildberries.ru/catalog/64114822/detail.aspx" TargetMode="External"/><Relationship Id="rId1286" Type="http://schemas.openxmlformats.org/officeDocument/2006/relationships/hyperlink" Target="https://ozon.ru/t/elA3qqP" TargetMode="External"/><Relationship Id="rId211" Type="http://schemas.openxmlformats.org/officeDocument/2006/relationships/hyperlink" Target="https://ozon.ru/t/X40XZLA" TargetMode="External"/><Relationship Id="rId295" Type="http://schemas.openxmlformats.org/officeDocument/2006/relationships/hyperlink" Target="https://www.wildberries.ru/catalog/35679429/detail.aspx?targetUrl=SN" TargetMode="External"/><Relationship Id="rId309" Type="http://schemas.openxmlformats.org/officeDocument/2006/relationships/hyperlink" Target="https://ozon.ru/t/r4083D" TargetMode="External"/><Relationship Id="rId516" Type="http://schemas.openxmlformats.org/officeDocument/2006/relationships/hyperlink" Target="https://ozon.ru/t/aJ3B857" TargetMode="External"/><Relationship Id="rId1146" Type="http://schemas.openxmlformats.org/officeDocument/2006/relationships/hyperlink" Target="https://wildberries.ru/catalog/224873134/detail.aspx" TargetMode="External"/><Relationship Id="rId723" Type="http://schemas.openxmlformats.org/officeDocument/2006/relationships/hyperlink" Target="https://wildberries.ru/catalog/250483104/detail.aspx" TargetMode="External"/><Relationship Id="rId930" Type="http://schemas.openxmlformats.org/officeDocument/2006/relationships/hyperlink" Target="https://wildberries.ru/catalog/204546309/detail.aspx" TargetMode="External"/><Relationship Id="rId1006" Type="http://schemas.openxmlformats.org/officeDocument/2006/relationships/hyperlink" Target="https://ozon.ru/t/3ZKlGJD" TargetMode="External"/><Relationship Id="rId1353" Type="http://schemas.openxmlformats.org/officeDocument/2006/relationships/hyperlink" Target="https://wildberries.ru/catalog/278922638/detail.aspx" TargetMode="External"/><Relationship Id="rId155" Type="http://schemas.openxmlformats.org/officeDocument/2006/relationships/hyperlink" Target="https://www.wildberries.ru/catalog/171012330/detail.aspx?targetUrl=SN" TargetMode="External"/><Relationship Id="rId362" Type="http://schemas.openxmlformats.org/officeDocument/2006/relationships/hyperlink" Target="https://ozon.ru/t/DRMaloE" TargetMode="External"/><Relationship Id="rId1213" Type="http://schemas.openxmlformats.org/officeDocument/2006/relationships/hyperlink" Target="https://ozon.ru/t/22wWkvv" TargetMode="External"/><Relationship Id="rId1297" Type="http://schemas.openxmlformats.org/officeDocument/2006/relationships/hyperlink" Target="https://www.wildberries.ru/catalog/181996756/detail.aspx?size=300326903" TargetMode="External"/><Relationship Id="rId222" Type="http://schemas.openxmlformats.org/officeDocument/2006/relationships/hyperlink" Target="https://ozon.ru/t/0qeyq2K" TargetMode="External"/><Relationship Id="rId667" Type="http://schemas.openxmlformats.org/officeDocument/2006/relationships/hyperlink" Target="https://www.wildberries.ru/catalog/216924990/detail.aspx?size=345656650" TargetMode="External"/><Relationship Id="rId874" Type="http://schemas.openxmlformats.org/officeDocument/2006/relationships/hyperlink" Target="https://wildberries.ru/catalog/8506961/detail.aspx" TargetMode="External"/><Relationship Id="rId17" Type="http://schemas.openxmlformats.org/officeDocument/2006/relationships/hyperlink" Target="https://www.ozon.ru/product/obd2-16pin-raspredelitelnyy-blok-avtomobilya-tester-ustranitel-neispravnostey-1323745109/?_fr=1710098963&amp;from=share_android&amp;sh=j5XP0E4rCQ&amp;utm_campaign=productpage_link&amp;utm_medium=share_button&amp;utm_source=smm" TargetMode="External"/><Relationship Id="rId527" Type="http://schemas.openxmlformats.org/officeDocument/2006/relationships/hyperlink" Target="https://www.avito.ru/orders/70000000117417853?source=messenger" TargetMode="External"/><Relationship Id="rId734" Type="http://schemas.openxmlformats.org/officeDocument/2006/relationships/hyperlink" Target="https://www.wildberries.ru/catalog/156430382/detail.aspx?size=260970586" TargetMode="External"/><Relationship Id="rId941" Type="http://schemas.openxmlformats.org/officeDocument/2006/relationships/hyperlink" Target="https://www.wildberries.ru/catalog/128768601/detail.aspx?size=223748441" TargetMode="External"/><Relationship Id="rId1157" Type="http://schemas.openxmlformats.org/officeDocument/2006/relationships/hyperlink" Target="https://ozon.ru/t/V8PDkGa" TargetMode="External"/><Relationship Id="rId1364" Type="http://schemas.openxmlformats.org/officeDocument/2006/relationships/hyperlink" Target="https://www.wildberries.ru/catalog/251162971/detail.aspx?size=392614931" TargetMode="External"/><Relationship Id="rId70" Type="http://schemas.openxmlformats.org/officeDocument/2006/relationships/hyperlink" Target="https://ozon.ru/t/ZnYpjaZ" TargetMode="External"/><Relationship Id="rId166" Type="http://schemas.openxmlformats.org/officeDocument/2006/relationships/hyperlink" Target="https://www.wildberries.ru/catalog/167211820/detail.aspx?targetUrl=SN" TargetMode="External"/><Relationship Id="rId373" Type="http://schemas.openxmlformats.org/officeDocument/2006/relationships/hyperlink" Target="https://ozon.ru/t/e2GA4nB" TargetMode="External"/><Relationship Id="rId580" Type="http://schemas.openxmlformats.org/officeDocument/2006/relationships/hyperlink" Target="https://www.wildberries.ru/catalog/212664778/detail.aspx" TargetMode="External"/><Relationship Id="rId801" Type="http://schemas.openxmlformats.org/officeDocument/2006/relationships/hyperlink" Target="https://ozon.ru/t/wezYp8" TargetMode="External"/><Relationship Id="rId1017" Type="http://schemas.openxmlformats.org/officeDocument/2006/relationships/hyperlink" Target="https://ozon.ru/t/5j1mMB" TargetMode="External"/><Relationship Id="rId1224" Type="http://schemas.openxmlformats.org/officeDocument/2006/relationships/hyperlink" Target="https://ozon.ru/t/N2ZpbBd" TargetMode="External"/><Relationship Id="rId1" Type="http://schemas.openxmlformats.org/officeDocument/2006/relationships/hyperlink" Target="https://www.wildberries.ru/catalog/156345767/detail.aspx" TargetMode="External"/><Relationship Id="rId233" Type="http://schemas.openxmlformats.org/officeDocument/2006/relationships/hyperlink" Target="https://www.wildberries.ru/catalog/212082958/detail.aspx?targetUrl=SN" TargetMode="External"/><Relationship Id="rId440" Type="http://schemas.openxmlformats.org/officeDocument/2006/relationships/hyperlink" Target="https://ozon.ru/t/8p9E32e" TargetMode="External"/><Relationship Id="rId678" Type="http://schemas.openxmlformats.org/officeDocument/2006/relationships/hyperlink" Target="https://ozon.ru/t/Q3r3BbD" TargetMode="External"/><Relationship Id="rId885" Type="http://schemas.openxmlformats.org/officeDocument/2006/relationships/hyperlink" Target="https://www.wildberries.ru/catalog/189097106/detail.aspx?size=309634779" TargetMode="External"/><Relationship Id="rId1070" Type="http://schemas.openxmlformats.org/officeDocument/2006/relationships/hyperlink" Target="https://wildberries.ru/catalog/236061947/detail.aspx" TargetMode="External"/><Relationship Id="rId28" Type="http://schemas.openxmlformats.org/officeDocument/2006/relationships/hyperlink" Target="https://www.wildberries.ru/catalog/203613043/detail.aspx" TargetMode="External"/><Relationship Id="rId300" Type="http://schemas.openxmlformats.org/officeDocument/2006/relationships/hyperlink" Target="https://www.wildberries.ru/catalog/51205604/detail.aspx?targetUrl=SN" TargetMode="External"/><Relationship Id="rId538" Type="http://schemas.openxmlformats.org/officeDocument/2006/relationships/hyperlink" Target="https://ozon.ru/t/a9Y7ygp" TargetMode="External"/><Relationship Id="rId745" Type="http://schemas.openxmlformats.org/officeDocument/2006/relationships/hyperlink" Target="https://aliexpress.ru/item/1005004872356657.html?sku_id=12000030836913921&amp;spm=a2g2x.productlist.search_results.7.f5ea2728ysxuIj" TargetMode="External"/><Relationship Id="rId952" Type="http://schemas.openxmlformats.org/officeDocument/2006/relationships/hyperlink" Target="https://ozon.ru/t/32ePPle" TargetMode="External"/><Relationship Id="rId1168" Type="http://schemas.openxmlformats.org/officeDocument/2006/relationships/hyperlink" Target="https://www.wildberries.ru/catalog/269867592/detail.aspx?size=417459560" TargetMode="External"/><Relationship Id="rId1375" Type="http://schemas.openxmlformats.org/officeDocument/2006/relationships/hyperlink" Target="https://ozon.ru/t/7gz9y5j" TargetMode="External"/><Relationship Id="rId81" Type="http://schemas.openxmlformats.org/officeDocument/2006/relationships/hyperlink" Target="https://www.wildberries.ru/catalog/148780921/detail.aspx?size=249833073" TargetMode="External"/><Relationship Id="rId177" Type="http://schemas.openxmlformats.org/officeDocument/2006/relationships/hyperlink" Target="https://www.wildberries.ru/catalog/135326533/detail.aspx?targetUrl=SN" TargetMode="External"/><Relationship Id="rId384" Type="http://schemas.openxmlformats.org/officeDocument/2006/relationships/hyperlink" Target="https://wildberries.ru/catalog/12001025/detail.aspx" TargetMode="External"/><Relationship Id="rId591" Type="http://schemas.openxmlformats.org/officeDocument/2006/relationships/hyperlink" Target="https://www.wildberries.ru/catalog/151216919/detail.aspx" TargetMode="External"/><Relationship Id="rId605" Type="http://schemas.openxmlformats.org/officeDocument/2006/relationships/hyperlink" Target="https://www.wildberries.ru/catalog/156724554/detail.aspx?targetUrl=MS&amp;size=261397694" TargetMode="External"/><Relationship Id="rId812" Type="http://schemas.openxmlformats.org/officeDocument/2006/relationships/hyperlink" Target="https://wildberries.ru/catalog/96966150/detail.aspx" TargetMode="External"/><Relationship Id="rId1028" Type="http://schemas.openxmlformats.org/officeDocument/2006/relationships/hyperlink" Target="https://www.wildberries.ru/catalog/226369408/detail.aspx?size=358411323" TargetMode="External"/><Relationship Id="rId1235" Type="http://schemas.openxmlformats.org/officeDocument/2006/relationships/hyperlink" Target="https://wildberries.ru/catalog/42119854/detail.aspx" TargetMode="External"/><Relationship Id="rId244" Type="http://schemas.openxmlformats.org/officeDocument/2006/relationships/hyperlink" Target="https://www.wildberries.ru/catalog/204682210/detail.aspx?targetUrl=SN" TargetMode="External"/><Relationship Id="rId689" Type="http://schemas.openxmlformats.org/officeDocument/2006/relationships/hyperlink" Target="https://wildberries.ru/catalog/18010004/detail.aspx" TargetMode="External"/><Relationship Id="rId896" Type="http://schemas.openxmlformats.org/officeDocument/2006/relationships/hyperlink" Target="https://ozon.ru/t/zqEKeKX" TargetMode="External"/><Relationship Id="rId1081" Type="http://schemas.openxmlformats.org/officeDocument/2006/relationships/hyperlink" Target="https://wildberries.ru/catalog/250569624/detail.aspx" TargetMode="External"/><Relationship Id="rId1302" Type="http://schemas.openxmlformats.org/officeDocument/2006/relationships/hyperlink" Target="https://wildberries.ru/catalog/70263187/detail.aspx" TargetMode="External"/><Relationship Id="rId39" Type="http://schemas.openxmlformats.org/officeDocument/2006/relationships/hyperlink" Target="https://ozon.ru/t/AR8g1yK" TargetMode="External"/><Relationship Id="rId451" Type="http://schemas.openxmlformats.org/officeDocument/2006/relationships/hyperlink" Target="https://ozon.ru/t/W257dbN" TargetMode="External"/><Relationship Id="rId549" Type="http://schemas.openxmlformats.org/officeDocument/2006/relationships/hyperlink" Target="https://wildberries.ru/catalog/209294110/detail.aspx" TargetMode="External"/><Relationship Id="rId756" Type="http://schemas.openxmlformats.org/officeDocument/2006/relationships/hyperlink" Target="https://www.wildberries.ru/catalog/30989710/detail.aspx" TargetMode="External"/><Relationship Id="rId1179" Type="http://schemas.openxmlformats.org/officeDocument/2006/relationships/hyperlink" Target="https://ozon.ru/t/rPYD9pe" TargetMode="External"/><Relationship Id="rId104" Type="http://schemas.openxmlformats.org/officeDocument/2006/relationships/hyperlink" Target="https://market.yandex.ru/cc/tdGLX47" TargetMode="External"/><Relationship Id="rId188" Type="http://schemas.openxmlformats.org/officeDocument/2006/relationships/hyperlink" Target="https://www.ozon.ru/product/parad-shtor-komplekt-shtor-blekaut-melanzh-250h400sm-kapuchino-mednyy-1335260151/?utm_campaign=productpage_link&amp;utm_medium=share_button&amp;utm_source=smm" TargetMode="External"/><Relationship Id="rId311" Type="http://schemas.openxmlformats.org/officeDocument/2006/relationships/hyperlink" Target="https://ozon.ru/t/Yj8KEZ" TargetMode="External"/><Relationship Id="rId395" Type="http://schemas.openxmlformats.org/officeDocument/2006/relationships/hyperlink" Target="https://www.wildberries.ru/catalog/202514479/detail.aspx?targetUrl=SN" TargetMode="External"/><Relationship Id="rId409" Type="http://schemas.openxmlformats.org/officeDocument/2006/relationships/hyperlink" Target="https://www.wildberries.ru/catalog/172630902/detail.aspx" TargetMode="External"/><Relationship Id="rId963" Type="http://schemas.openxmlformats.org/officeDocument/2006/relationships/hyperlink" Target="https://ozon.ru/t/YloGQ8O" TargetMode="External"/><Relationship Id="rId1039" Type="http://schemas.openxmlformats.org/officeDocument/2006/relationships/hyperlink" Target="https://ozon.ru/t/LB91mKN" TargetMode="External"/><Relationship Id="rId1246" Type="http://schemas.openxmlformats.org/officeDocument/2006/relationships/hyperlink" Target="https://wildberries.ru/catalog/151688757/detail.aspx" TargetMode="External"/><Relationship Id="rId92" Type="http://schemas.openxmlformats.org/officeDocument/2006/relationships/hyperlink" Target="https://ozon.ru/t/odkjN7E" TargetMode="External"/><Relationship Id="rId616" Type="http://schemas.openxmlformats.org/officeDocument/2006/relationships/hyperlink" Target="https://ozon.ru/t/YoQ73Zj" TargetMode="External"/><Relationship Id="rId823" Type="http://schemas.openxmlformats.org/officeDocument/2006/relationships/hyperlink" Target="https://wildberries.ru/catalog/209580467/detail.aspx" TargetMode="External"/><Relationship Id="rId255" Type="http://schemas.openxmlformats.org/officeDocument/2006/relationships/hyperlink" Target="https://ozon.ru/t/QVrQl1" TargetMode="External"/><Relationship Id="rId462" Type="http://schemas.openxmlformats.org/officeDocument/2006/relationships/hyperlink" Target="https://www.wildberries.ru/catalog/232465967/detail.aspx?targetUrl=SN" TargetMode="External"/><Relationship Id="rId1092" Type="http://schemas.openxmlformats.org/officeDocument/2006/relationships/hyperlink" Target="https://ozon.ru/t/gLavdQG" TargetMode="External"/><Relationship Id="rId1106" Type="http://schemas.openxmlformats.org/officeDocument/2006/relationships/hyperlink" Target="https://www.wildberries.ru/catalog/267850958/detail.aspx" TargetMode="External"/><Relationship Id="rId1313" Type="http://schemas.openxmlformats.org/officeDocument/2006/relationships/hyperlink" Target="https://zyorna.ru/catalog/item/nabor-magnitov-novogodnij-ded-moroz-i-snegurochka-118752" TargetMode="External"/><Relationship Id="rId115" Type="http://schemas.openxmlformats.org/officeDocument/2006/relationships/hyperlink" Target="https://www.wildberries.ru/catalog/203149243/detail.aspx?targetUrl=SN" TargetMode="External"/><Relationship Id="rId322" Type="http://schemas.openxmlformats.org/officeDocument/2006/relationships/hyperlink" Target="https://www.wildberries.ru/catalog/16134606/detail.aspx?targetUrl=SN\" TargetMode="External"/><Relationship Id="rId767" Type="http://schemas.openxmlformats.org/officeDocument/2006/relationships/hyperlink" Target="https://ozon.ru/t/kXW4q3w" TargetMode="External"/><Relationship Id="rId974" Type="http://schemas.openxmlformats.org/officeDocument/2006/relationships/hyperlink" Target="https://wildberries.ru/catalog/178384658/detail.aspx" TargetMode="External"/><Relationship Id="rId199" Type="http://schemas.openxmlformats.org/officeDocument/2006/relationships/hyperlink" Target="https://ozon.ru/t/9jL7wlq" TargetMode="External"/><Relationship Id="rId627" Type="http://schemas.openxmlformats.org/officeDocument/2006/relationships/hyperlink" Target="https://ozon.ru/t/9KK86Jz" TargetMode="External"/><Relationship Id="rId834" Type="http://schemas.openxmlformats.org/officeDocument/2006/relationships/hyperlink" Target="https://www.wildberries.ru/catalog/169332076/detail.aspx" TargetMode="External"/><Relationship Id="rId1257" Type="http://schemas.openxmlformats.org/officeDocument/2006/relationships/hyperlink" Target="https://www.wildberries.ru/catalog/251115426/detail.aspx" TargetMode="External"/><Relationship Id="rId266" Type="http://schemas.openxmlformats.org/officeDocument/2006/relationships/hyperlink" Target="https://www.wildberries.ru/catalog/208233712/detail.aspx?targetUrl=SN" TargetMode="External"/><Relationship Id="rId473" Type="http://schemas.openxmlformats.org/officeDocument/2006/relationships/hyperlink" Target="https://ozon.ru/t/REnZKb0" TargetMode="External"/><Relationship Id="rId680" Type="http://schemas.openxmlformats.org/officeDocument/2006/relationships/hyperlink" Target="https://www.ozon.ru/product/veld-co-fotoalbom-36-foto-1214321938/?avtc=1&amp;avte=2&amp;avts=1725261257" TargetMode="External"/><Relationship Id="rId901" Type="http://schemas.openxmlformats.org/officeDocument/2006/relationships/hyperlink" Target="https://ozon.ru/t/V3AoYnn" TargetMode="External"/><Relationship Id="rId1117" Type="http://schemas.openxmlformats.org/officeDocument/2006/relationships/hyperlink" Target="https://ozon.ru/t/vqPoxdo" TargetMode="External"/><Relationship Id="rId1324" Type="http://schemas.openxmlformats.org/officeDocument/2006/relationships/hyperlink" Target="https://ozon.ru/t/xKlVem6" TargetMode="External"/><Relationship Id="rId30" Type="http://schemas.openxmlformats.org/officeDocument/2006/relationships/hyperlink" Target="https://ozon.ru/t/oRayMEJ" TargetMode="External"/><Relationship Id="rId126" Type="http://schemas.openxmlformats.org/officeDocument/2006/relationships/hyperlink" Target="https://ozon.ru/t/zzwAoVR" TargetMode="External"/><Relationship Id="rId333" Type="http://schemas.openxmlformats.org/officeDocument/2006/relationships/hyperlink" Target="https://www.wildberries.ru/catalog/140425152/detail.aspx?targetUrl=SN" TargetMode="External"/><Relationship Id="rId540" Type="http://schemas.openxmlformats.org/officeDocument/2006/relationships/hyperlink" Target="https://wildberries.ru/catalog/164005437/detail.aspx" TargetMode="External"/><Relationship Id="rId778" Type="http://schemas.openxmlformats.org/officeDocument/2006/relationships/hyperlink" Target="https://www.labirint.ru/books/650913/" TargetMode="External"/><Relationship Id="rId985" Type="http://schemas.openxmlformats.org/officeDocument/2006/relationships/hyperlink" Target="https://ozon.ru/t/4vbB6a1" TargetMode="External"/><Relationship Id="rId1170" Type="http://schemas.openxmlformats.org/officeDocument/2006/relationships/hyperlink" Target="https://www.wildberries.ru/catalog/206479087/detail.aspx?size=331603921" TargetMode="External"/><Relationship Id="rId638" Type="http://schemas.openxmlformats.org/officeDocument/2006/relationships/hyperlink" Target="https://wildberries.ru/catalog/219806590/detail.aspx" TargetMode="External"/><Relationship Id="rId845" Type="http://schemas.openxmlformats.org/officeDocument/2006/relationships/hyperlink" Target="https://ozon.ru/t/kjABVNy" TargetMode="External"/><Relationship Id="rId1030" Type="http://schemas.openxmlformats.org/officeDocument/2006/relationships/hyperlink" Target="https://www.wildberries.ru/catalog/158292583/detail.aspx?size=263419610" TargetMode="External"/><Relationship Id="rId1268" Type="http://schemas.openxmlformats.org/officeDocument/2006/relationships/hyperlink" Target="https://wildberries.ru/catalog/296549871/detail.aspx" TargetMode="External"/><Relationship Id="rId277" Type="http://schemas.openxmlformats.org/officeDocument/2006/relationships/hyperlink" Target="http://slovo.net.ru/book/46851" TargetMode="External"/><Relationship Id="rId400" Type="http://schemas.openxmlformats.org/officeDocument/2006/relationships/hyperlink" Target="https://ozon.ru/t/o10jqe6" TargetMode="External"/><Relationship Id="rId484" Type="http://schemas.openxmlformats.org/officeDocument/2006/relationships/hyperlink" Target="https://www.wildberries.ru/catalog/94571578/detail.aspx?targetUrl=SN" TargetMode="External"/><Relationship Id="rId705" Type="http://schemas.openxmlformats.org/officeDocument/2006/relationships/hyperlink" Target="https://ozon.ru/t/7nXJyA3" TargetMode="External"/><Relationship Id="rId1128" Type="http://schemas.openxmlformats.org/officeDocument/2006/relationships/hyperlink" Target="https://ozon.ru/t/xMwvowk" TargetMode="External"/><Relationship Id="rId1335" Type="http://schemas.openxmlformats.org/officeDocument/2006/relationships/hyperlink" Target="https://www.wildberries.ru/catalog/96025839/detail.aspx?size=152703538" TargetMode="External"/><Relationship Id="rId137" Type="http://schemas.openxmlformats.org/officeDocument/2006/relationships/hyperlink" Target="https://www.wildberries.ru/catalog/34948115/detail.aspx?targetUrl=SN" TargetMode="External"/><Relationship Id="rId344" Type="http://schemas.openxmlformats.org/officeDocument/2006/relationships/hyperlink" Target="https://ozon.ru/t/DEgpnYa" TargetMode="External"/><Relationship Id="rId691" Type="http://schemas.openxmlformats.org/officeDocument/2006/relationships/hyperlink" Target="https://www.wildberries.ru/catalog/228486802/detail.aspx" TargetMode="External"/><Relationship Id="rId789" Type="http://schemas.openxmlformats.org/officeDocument/2006/relationships/hyperlink" Target="https://www.wildberries.ru/catalog/7210803/detail.aspx?targetUrl=SN" TargetMode="External"/><Relationship Id="rId912" Type="http://schemas.openxmlformats.org/officeDocument/2006/relationships/hyperlink" Target="https://www.wildberries.ru/catalog/225840466/detail.aspx?targetUrl=SN" TargetMode="External"/><Relationship Id="rId996" Type="http://schemas.openxmlformats.org/officeDocument/2006/relationships/hyperlink" Target="https://www.wildberries.ru/catalog/233143804/detail.aspx" TargetMode="External"/><Relationship Id="rId41" Type="http://schemas.openxmlformats.org/officeDocument/2006/relationships/hyperlink" Target="https://ozon.ru/t/L9B0LZ5" TargetMode="External"/><Relationship Id="rId551" Type="http://schemas.openxmlformats.org/officeDocument/2006/relationships/hyperlink" Target="https://wildberries.ru/catalog/172090696/detail.aspx" TargetMode="External"/><Relationship Id="rId649" Type="http://schemas.openxmlformats.org/officeDocument/2006/relationships/hyperlink" Target="https://ozon.ru/t/AKWWZDK" TargetMode="External"/><Relationship Id="rId856" Type="http://schemas.openxmlformats.org/officeDocument/2006/relationships/hyperlink" Target="https://ozon.ru/t/ke8jvbK" TargetMode="External"/><Relationship Id="rId1181" Type="http://schemas.openxmlformats.org/officeDocument/2006/relationships/hyperlink" Target="https://ozon.ru/t/GDyv1lA" TargetMode="External"/><Relationship Id="rId1279" Type="http://schemas.openxmlformats.org/officeDocument/2006/relationships/hyperlink" Target="https://ozon.ru/t/MvqpMK7" TargetMode="External"/><Relationship Id="rId190" Type="http://schemas.openxmlformats.org/officeDocument/2006/relationships/hyperlink" Target="https://ozon.ru/t/PgA1J1y" TargetMode="External"/><Relationship Id="rId204" Type="http://schemas.openxmlformats.org/officeDocument/2006/relationships/hyperlink" Target="https://ozon.ru/t/86ZE70e" TargetMode="External"/><Relationship Id="rId288" Type="http://schemas.openxmlformats.org/officeDocument/2006/relationships/hyperlink" Target="https://ozon.ru/t/XwMq0A" TargetMode="External"/><Relationship Id="rId411" Type="http://schemas.openxmlformats.org/officeDocument/2006/relationships/hyperlink" Target="https://www.wildberries.ru/catalog/231712217/detail.aspx" TargetMode="External"/><Relationship Id="rId509" Type="http://schemas.openxmlformats.org/officeDocument/2006/relationships/hyperlink" Target="https://www.ozon.ru/product/karmannye-kalendariki-sssr-multfilmy-8-shtuk-1578104704/" TargetMode="External"/><Relationship Id="rId1041" Type="http://schemas.openxmlformats.org/officeDocument/2006/relationships/hyperlink" Target="https://ozon.ru/t/57aGMZD" TargetMode="External"/><Relationship Id="rId1139" Type="http://schemas.openxmlformats.org/officeDocument/2006/relationships/hyperlink" Target="https://wildberries.ru/catalog/233747135/detail.aspx" TargetMode="External"/><Relationship Id="rId1346" Type="http://schemas.openxmlformats.org/officeDocument/2006/relationships/hyperlink" Target="https://wildberries.ru/catalog/274045579/detail.aspx" TargetMode="External"/><Relationship Id="rId495" Type="http://schemas.openxmlformats.org/officeDocument/2006/relationships/hyperlink" Target="https://ozon.ru/t/wR6R4ya" TargetMode="External"/><Relationship Id="rId716" Type="http://schemas.openxmlformats.org/officeDocument/2006/relationships/hyperlink" Target="https://wildberries.ru/catalog/110114981/detail.aspx" TargetMode="External"/><Relationship Id="rId923" Type="http://schemas.openxmlformats.org/officeDocument/2006/relationships/hyperlink" Target="https://wildberries.ru/catalog/97908111/detail.aspx" TargetMode="External"/><Relationship Id="rId52" Type="http://schemas.openxmlformats.org/officeDocument/2006/relationships/hyperlink" Target="https://ozon.ru/t/BlZgMjJ" TargetMode="External"/><Relationship Id="rId148" Type="http://schemas.openxmlformats.org/officeDocument/2006/relationships/hyperlink" Target="https://ozon.ru/t/Q2V95lD" TargetMode="External"/><Relationship Id="rId355" Type="http://schemas.openxmlformats.org/officeDocument/2006/relationships/hyperlink" Target="https://ozon.ru/t/jrpeQ3n" TargetMode="External"/><Relationship Id="rId562" Type="http://schemas.openxmlformats.org/officeDocument/2006/relationships/hyperlink" Target="https://wildberries.ru/catalog/196223960/detail.aspx" TargetMode="External"/><Relationship Id="rId1192" Type="http://schemas.openxmlformats.org/officeDocument/2006/relationships/hyperlink" Target="https://ozon.ru/t/EJGJ5d0" TargetMode="External"/><Relationship Id="rId1206" Type="http://schemas.openxmlformats.org/officeDocument/2006/relationships/hyperlink" Target="https://www.wildberries.ru/catalog/281980897/detail.aspx" TargetMode="External"/><Relationship Id="rId215" Type="http://schemas.openxmlformats.org/officeDocument/2006/relationships/hyperlink" Target="https://ozon.ru/t/odn6bry" TargetMode="External"/><Relationship Id="rId422" Type="http://schemas.openxmlformats.org/officeDocument/2006/relationships/hyperlink" Target="https://www.wildberries.ru/catalog/47745000/detail.aspx?targetUrl=EX" TargetMode="External"/><Relationship Id="rId867" Type="http://schemas.openxmlformats.org/officeDocument/2006/relationships/hyperlink" Target="https://wildberries.ru/catalog/237239907/detail.aspx" TargetMode="External"/><Relationship Id="rId1052" Type="http://schemas.openxmlformats.org/officeDocument/2006/relationships/hyperlink" Target="https://www.wildberries.ru/catalog/230300797/detail.aspx" TargetMode="External"/><Relationship Id="rId299" Type="http://schemas.openxmlformats.org/officeDocument/2006/relationships/hyperlink" Target="https://www.wildberries.ru/catalog/7658149/detail.aspx?targetUrl=SN" TargetMode="External"/><Relationship Id="rId727" Type="http://schemas.openxmlformats.org/officeDocument/2006/relationships/hyperlink" Target="https://avito.ru/4022913566" TargetMode="External"/><Relationship Id="rId934" Type="http://schemas.openxmlformats.org/officeDocument/2006/relationships/hyperlink" Target="https://www.wildberries.ru/catalog/137711979/detail.aspx?targetUrl=SN" TargetMode="External"/><Relationship Id="rId1357" Type="http://schemas.openxmlformats.org/officeDocument/2006/relationships/hyperlink" Target="https://wildberries.ru/catalog/174932080/detail.aspx" TargetMode="External"/><Relationship Id="rId63" Type="http://schemas.openxmlformats.org/officeDocument/2006/relationships/hyperlink" Target="https://www.wildberries.ru/catalog/4344843/detail.aspx?size=16177528" TargetMode="External"/><Relationship Id="rId159" Type="http://schemas.openxmlformats.org/officeDocument/2006/relationships/hyperlink" Target="https://ozon.ru/t/PgpwDbA" TargetMode="External"/><Relationship Id="rId366" Type="http://schemas.openxmlformats.org/officeDocument/2006/relationships/hyperlink" Target="https://www.wildberries.ru/catalog/156270659/detail.aspx?targetUrl=SN" TargetMode="External"/><Relationship Id="rId573" Type="http://schemas.openxmlformats.org/officeDocument/2006/relationships/hyperlink" Target="https://www.wildberries.ru/catalog/191338613/detail.aspx" TargetMode="External"/><Relationship Id="rId780" Type="http://schemas.openxmlformats.org/officeDocument/2006/relationships/hyperlink" Target="https://market.yandex.ru/cc/xtepuwr" TargetMode="External"/><Relationship Id="rId1217" Type="http://schemas.openxmlformats.org/officeDocument/2006/relationships/hyperlink" Target="https://ozon.ru/t/RddP6wK" TargetMode="External"/><Relationship Id="rId226" Type="http://schemas.openxmlformats.org/officeDocument/2006/relationships/hyperlink" Target="https://www.wildberries.ru/catalog/64746100/detail.aspx?targetUrl=SN" TargetMode="External"/><Relationship Id="rId433" Type="http://schemas.openxmlformats.org/officeDocument/2006/relationships/hyperlink" Target="https://wildberries.ru/catalog/173059406/detail.aspx" TargetMode="External"/><Relationship Id="rId878" Type="http://schemas.openxmlformats.org/officeDocument/2006/relationships/hyperlink" Target="https://www.wildberries.ru/catalog/227953886/detail.aspx?targetUrl=SN" TargetMode="External"/><Relationship Id="rId1063" Type="http://schemas.openxmlformats.org/officeDocument/2006/relationships/hyperlink" Target="https://ozon.ru/t/Jr9W596" TargetMode="External"/><Relationship Id="rId1270" Type="http://schemas.openxmlformats.org/officeDocument/2006/relationships/hyperlink" Target="https://www.wildberries.ru/catalog/198869548/detail.aspx?targetUrl=SG" TargetMode="External"/><Relationship Id="rId640" Type="http://schemas.openxmlformats.org/officeDocument/2006/relationships/hyperlink" Target="https://wildberries.ru/catalog/140870373/detail.aspx" TargetMode="External"/><Relationship Id="rId738" Type="http://schemas.openxmlformats.org/officeDocument/2006/relationships/hyperlink" Target="https://www.wildberries.ru/catalog/214446263/detail.aspx?size=342315560" TargetMode="External"/><Relationship Id="rId945" Type="http://schemas.openxmlformats.org/officeDocument/2006/relationships/hyperlink" Target="https://www.wildberries.ru/catalog/264470140/detail.aspx?size=410517108" TargetMode="External"/><Relationship Id="rId1368" Type="http://schemas.openxmlformats.org/officeDocument/2006/relationships/hyperlink" Target="https://wildberries.ru/catalog/72516900/detail.aspx" TargetMode="External"/><Relationship Id="rId74" Type="http://schemas.openxmlformats.org/officeDocument/2006/relationships/hyperlink" Target="https://www.wildberries.ru/catalog/111410162/detail.aspx?size=201792114" TargetMode="External"/><Relationship Id="rId377" Type="http://schemas.openxmlformats.org/officeDocument/2006/relationships/hyperlink" Target="https://wildberries.ru/catalog/157008398/detail.aspx" TargetMode="External"/><Relationship Id="rId500" Type="http://schemas.openxmlformats.org/officeDocument/2006/relationships/hyperlink" Target="https://ozon.ru/t/EGwBY8E" TargetMode="External"/><Relationship Id="rId584" Type="http://schemas.openxmlformats.org/officeDocument/2006/relationships/hyperlink" Target="https://ozon.ru/t/WG8ABVR" TargetMode="External"/><Relationship Id="rId805" Type="http://schemas.openxmlformats.org/officeDocument/2006/relationships/hyperlink" Target="https://ozon.ru/t/K668y6" TargetMode="External"/><Relationship Id="rId1130" Type="http://schemas.openxmlformats.org/officeDocument/2006/relationships/hyperlink" Target="https://ozon.ru/t/X18PdqL" TargetMode="External"/><Relationship Id="rId1228" Type="http://schemas.openxmlformats.org/officeDocument/2006/relationships/hyperlink" Target="https://wildberries.ru/catalog/207469572/detail.aspx" TargetMode="External"/><Relationship Id="rId5" Type="http://schemas.openxmlformats.org/officeDocument/2006/relationships/hyperlink" Target="https://www.wildberries.ru/catalog/207067910/detail.aspx" TargetMode="External"/><Relationship Id="rId237" Type="http://schemas.openxmlformats.org/officeDocument/2006/relationships/hyperlink" Target="https://ozon.ru/t/d6QDQG" TargetMode="External"/><Relationship Id="rId791" Type="http://schemas.openxmlformats.org/officeDocument/2006/relationships/hyperlink" Target="https://ozon.ru/t/26Nzgqj" TargetMode="External"/><Relationship Id="rId889" Type="http://schemas.openxmlformats.org/officeDocument/2006/relationships/hyperlink" Target="https://ozon.ru/t/8bKeAwD" TargetMode="External"/><Relationship Id="rId1074" Type="http://schemas.openxmlformats.org/officeDocument/2006/relationships/hyperlink" Target="https://www.wildberries.ru/catalog/279408000/detail.aspx?size=429410338" TargetMode="External"/><Relationship Id="rId444" Type="http://schemas.openxmlformats.org/officeDocument/2006/relationships/hyperlink" Target="https://www.wildberries.ru/catalog/216360151/detail.aspx" TargetMode="External"/><Relationship Id="rId651" Type="http://schemas.openxmlformats.org/officeDocument/2006/relationships/hyperlink" Target="https://ozon.ru/t/3MlkpN5" TargetMode="External"/><Relationship Id="rId749" Type="http://schemas.openxmlformats.org/officeDocument/2006/relationships/hyperlink" Target="https://ozon.ru/t/aok5A0z" TargetMode="External"/><Relationship Id="rId1281" Type="http://schemas.openxmlformats.org/officeDocument/2006/relationships/hyperlink" Target="https://www.wildberries.ru/catalog/177359621/detail.aspx?size=293694438" TargetMode="External"/><Relationship Id="rId1379" Type="http://schemas.openxmlformats.org/officeDocument/2006/relationships/hyperlink" Target="https://wildberries.ru/catalog/45801149/detail.aspx" TargetMode="External"/><Relationship Id="rId290" Type="http://schemas.openxmlformats.org/officeDocument/2006/relationships/hyperlink" Target="https://ozon.ru/t/lrnKXR" TargetMode="External"/><Relationship Id="rId304" Type="http://schemas.openxmlformats.org/officeDocument/2006/relationships/hyperlink" Target="https://ozon.ru/t/AqlNQE" TargetMode="External"/><Relationship Id="rId388" Type="http://schemas.openxmlformats.org/officeDocument/2006/relationships/hyperlink" Target="https://www.wildberries.ru/catalog/85463461/detail.aspx?targetUrl=SN" TargetMode="External"/><Relationship Id="rId511" Type="http://schemas.openxmlformats.org/officeDocument/2006/relationships/hyperlink" Target="https://wildberries.ru/catalog/192943764/detail.aspx" TargetMode="External"/><Relationship Id="rId609" Type="http://schemas.openxmlformats.org/officeDocument/2006/relationships/hyperlink" Target="https://www.ozon.ru/product/my-s-dedushkoy-druzya-seriya-mishka-i-ego-semya-koval-tatyana-leonidovna-808171373/" TargetMode="External"/><Relationship Id="rId956" Type="http://schemas.openxmlformats.org/officeDocument/2006/relationships/hyperlink" Target="https://ozon.ru/t/zj46Yk8" TargetMode="External"/><Relationship Id="rId1141" Type="http://schemas.openxmlformats.org/officeDocument/2006/relationships/hyperlink" Target="https://wildberries.ru/catalog/114564739/detail.aspx" TargetMode="External"/><Relationship Id="rId1239" Type="http://schemas.openxmlformats.org/officeDocument/2006/relationships/hyperlink" Target="https://ozon.ru/t/1O1bYdB" TargetMode="External"/><Relationship Id="rId85" Type="http://schemas.openxmlformats.org/officeDocument/2006/relationships/hyperlink" Target="https://ozon.ru/t/467a516" TargetMode="External"/><Relationship Id="rId150" Type="http://schemas.openxmlformats.org/officeDocument/2006/relationships/hyperlink" Target="https://ozon.ru/t/Q2VLeyz" TargetMode="External"/><Relationship Id="rId595" Type="http://schemas.openxmlformats.org/officeDocument/2006/relationships/hyperlink" Target="https://www.wildberries.ru/catalog/50050067/detail.aspx" TargetMode="External"/><Relationship Id="rId816" Type="http://schemas.openxmlformats.org/officeDocument/2006/relationships/hyperlink" Target="https://wildberries.ru/catalog/223568704/detail.aspx" TargetMode="External"/><Relationship Id="rId1001" Type="http://schemas.openxmlformats.org/officeDocument/2006/relationships/hyperlink" Target="https://ozon.ru/t/Gq2PZRG" TargetMode="External"/><Relationship Id="rId248" Type="http://schemas.openxmlformats.org/officeDocument/2006/relationships/hyperlink" Target="https://ozon.ru/t/k81r0q" TargetMode="External"/><Relationship Id="rId455" Type="http://schemas.openxmlformats.org/officeDocument/2006/relationships/hyperlink" Target="https://wildberries.ru/catalog/14204554/detail.aspx" TargetMode="External"/><Relationship Id="rId662" Type="http://schemas.openxmlformats.org/officeDocument/2006/relationships/hyperlink" Target="https://wildberries.ru/catalog/227197610/detail.aspx" TargetMode="External"/><Relationship Id="rId1085" Type="http://schemas.openxmlformats.org/officeDocument/2006/relationships/hyperlink" Target="https://wildberries.ru/catalog/268331431/detail.aspx" TargetMode="External"/><Relationship Id="rId1292" Type="http://schemas.openxmlformats.org/officeDocument/2006/relationships/hyperlink" Target="https://wildberries.ru/catalog/9851918/detail.aspx" TargetMode="External"/><Relationship Id="rId1306" Type="http://schemas.openxmlformats.org/officeDocument/2006/relationships/hyperlink" Target="https://sl.aliexpress.ru/p?key=yw0sGcP" TargetMode="External"/><Relationship Id="rId12" Type="http://schemas.openxmlformats.org/officeDocument/2006/relationships/hyperlink" Target="https://www.ozon.ru/product/tree-fern-trifern-2-litra-korni-paporotnika-903179093/?from=share_android&amp;utm_campaign=productpage_link&amp;utm_medium=share_button&amp;utm_source=smm" TargetMode="External"/><Relationship Id="rId108" Type="http://schemas.openxmlformats.org/officeDocument/2006/relationships/hyperlink" Target="https://www.wildberries.ru/catalog/167958093/detail.aspx?size=279265332" TargetMode="External"/><Relationship Id="rId315" Type="http://schemas.openxmlformats.org/officeDocument/2006/relationships/hyperlink" Target="https://ozon.ru/t/QjY88p" TargetMode="External"/><Relationship Id="rId522" Type="http://schemas.openxmlformats.org/officeDocument/2006/relationships/hyperlink" Target="https://ozon.ru/t/510PL1n" TargetMode="External"/><Relationship Id="rId967" Type="http://schemas.openxmlformats.org/officeDocument/2006/relationships/hyperlink" Target="https://wildberries.ru/catalog/82415843/detail.aspx" TargetMode="External"/><Relationship Id="rId1152" Type="http://schemas.openxmlformats.org/officeDocument/2006/relationships/hyperlink" Target="https://ozon.ru/t/b023m2" TargetMode="External"/><Relationship Id="rId96" Type="http://schemas.openxmlformats.org/officeDocument/2006/relationships/hyperlink" Target="https://ozon.ru/t/jZkQbGw" TargetMode="External"/><Relationship Id="rId161" Type="http://schemas.openxmlformats.org/officeDocument/2006/relationships/hyperlink" Target="https://ozon.ru/t/bbwMzQD" TargetMode="External"/><Relationship Id="rId399" Type="http://schemas.openxmlformats.org/officeDocument/2006/relationships/hyperlink" Target="https://wildberries.ru/catalog/93550775/detail.aspx" TargetMode="External"/><Relationship Id="rId827" Type="http://schemas.openxmlformats.org/officeDocument/2006/relationships/hyperlink" Target="https://wildberries.ru/catalog/210238263/detail.aspx" TargetMode="External"/><Relationship Id="rId1012" Type="http://schemas.openxmlformats.org/officeDocument/2006/relationships/hyperlink" Target="https://ozon.ru/t/D3QkYB" TargetMode="External"/><Relationship Id="rId259" Type="http://schemas.openxmlformats.org/officeDocument/2006/relationships/hyperlink" Target="https://ozon.ru/t/QVrQl1" TargetMode="External"/><Relationship Id="rId466" Type="http://schemas.openxmlformats.org/officeDocument/2006/relationships/hyperlink" Target="https://ozon.ru/t/YYPK3Ko" TargetMode="External"/><Relationship Id="rId673" Type="http://schemas.openxmlformats.org/officeDocument/2006/relationships/hyperlink" Target="https://wildberries.ru/catalog/163228429/detail.aspx" TargetMode="External"/><Relationship Id="rId880" Type="http://schemas.openxmlformats.org/officeDocument/2006/relationships/hyperlink" Target="https://megamarket.ru/catalog/details/pushka-teplovaya-ballu-bks-3-600001408842_79223/" TargetMode="External"/><Relationship Id="rId1096" Type="http://schemas.openxmlformats.org/officeDocument/2006/relationships/hyperlink" Target="https://wildberries.ru/catalog/143166465/detail.aspx" TargetMode="External"/><Relationship Id="rId1317" Type="http://schemas.openxmlformats.org/officeDocument/2006/relationships/hyperlink" Target="https://zyorna.ru/catalog/item/magnitnyj-pazl-s-rozhdestvom-hristovym-snegir-82650" TargetMode="External"/><Relationship Id="rId23" Type="http://schemas.openxmlformats.org/officeDocument/2006/relationships/hyperlink" Target="https://www.wildberries.ru/catalog/12762409/detail.aspx?size=39317336" TargetMode="External"/><Relationship Id="rId119" Type="http://schemas.openxmlformats.org/officeDocument/2006/relationships/hyperlink" Target="https://www.wildberries.ru/catalog/146698948/detail.aspx?targetUrl=SN" TargetMode="External"/><Relationship Id="rId326" Type="http://schemas.openxmlformats.org/officeDocument/2006/relationships/hyperlink" Target="https://ozon.ru/t/Y2A9Yno" TargetMode="External"/><Relationship Id="rId533" Type="http://schemas.openxmlformats.org/officeDocument/2006/relationships/hyperlink" Target="https://wildberries.ru/catalog/32785746/detail.aspx" TargetMode="External"/><Relationship Id="rId978" Type="http://schemas.openxmlformats.org/officeDocument/2006/relationships/hyperlink" Target="https://www.wildberries.ru/catalog/243472510/detail.aspx?targetUrl=SN" TargetMode="External"/><Relationship Id="rId1163" Type="http://schemas.openxmlformats.org/officeDocument/2006/relationships/hyperlink" Target="https://www.wildberries.ru/catalog/189841161/detail.aspx" TargetMode="External"/><Relationship Id="rId1370" Type="http://schemas.openxmlformats.org/officeDocument/2006/relationships/hyperlink" Target="https://wildberries.ru/catalog/237096531/detail.aspx" TargetMode="External"/><Relationship Id="rId740" Type="http://schemas.openxmlformats.org/officeDocument/2006/relationships/hyperlink" Target="https://ozon.ru/t/qAK4AVY" TargetMode="External"/><Relationship Id="rId838" Type="http://schemas.openxmlformats.org/officeDocument/2006/relationships/hyperlink" Target="https://www.wildberries.ru/catalog/167314362/detail.aspx" TargetMode="External"/><Relationship Id="rId1023" Type="http://schemas.openxmlformats.org/officeDocument/2006/relationships/hyperlink" Target="https://wildberries.ru/catalog/262431554/detail.aspx" TargetMode="External"/><Relationship Id="rId172" Type="http://schemas.openxmlformats.org/officeDocument/2006/relationships/hyperlink" Target="https://ozon.ru/t/jZXRg4d" TargetMode="External"/><Relationship Id="rId477" Type="http://schemas.openxmlformats.org/officeDocument/2006/relationships/hyperlink" Target="https://ozon.ru/t/8plLJBG" TargetMode="External"/><Relationship Id="rId600" Type="http://schemas.openxmlformats.org/officeDocument/2006/relationships/hyperlink" Target="https://www.wildberries.ru/catalog/219581926/detail.aspx" TargetMode="External"/><Relationship Id="rId684" Type="http://schemas.openxmlformats.org/officeDocument/2006/relationships/hyperlink" Target="https://www.wildberries.ru/catalog/96175584/detail.aspx?targetUrl=SN" TargetMode="External"/><Relationship Id="rId1230" Type="http://schemas.openxmlformats.org/officeDocument/2006/relationships/hyperlink" Target="https://www.wildberries.ru/catalog/183056190/detail.aspx?size=301799347" TargetMode="External"/><Relationship Id="rId1328" Type="http://schemas.openxmlformats.org/officeDocument/2006/relationships/hyperlink" Target="https://ozon.ru/t/LNLZzr7" TargetMode="External"/><Relationship Id="rId337" Type="http://schemas.openxmlformats.org/officeDocument/2006/relationships/hyperlink" Target="https://www.wildberries.ru/catalog/35679429/detail.aspx?targetUrl=SN\" TargetMode="External"/><Relationship Id="rId891" Type="http://schemas.openxmlformats.org/officeDocument/2006/relationships/hyperlink" Target="https://ozon.ru/t/JDNQKQ5" TargetMode="External"/><Relationship Id="rId905" Type="http://schemas.openxmlformats.org/officeDocument/2006/relationships/hyperlink" Target="https://www.wildberries.ru/catalog/224596134/detail.aspx" TargetMode="External"/><Relationship Id="rId989" Type="http://schemas.openxmlformats.org/officeDocument/2006/relationships/hyperlink" Target="https://ozon.ru/t/ZWy2rnz" TargetMode="External"/><Relationship Id="rId34" Type="http://schemas.openxmlformats.org/officeDocument/2006/relationships/hyperlink" Target="https://ozon.ru/t/pGL727D" TargetMode="External"/><Relationship Id="rId544" Type="http://schemas.openxmlformats.org/officeDocument/2006/relationships/hyperlink" Target="https://wildberries.ru/catalog/205485058/detail.aspx" TargetMode="External"/><Relationship Id="rId751" Type="http://schemas.openxmlformats.org/officeDocument/2006/relationships/hyperlink" Target="https://wildberries.ru/catalog/249779684/detail.aspx" TargetMode="External"/><Relationship Id="rId849" Type="http://schemas.openxmlformats.org/officeDocument/2006/relationships/hyperlink" Target="https://wildberries.ru/catalog/49626885/detail.aspx" TargetMode="External"/><Relationship Id="rId1174" Type="http://schemas.openxmlformats.org/officeDocument/2006/relationships/hyperlink" Target="https://ozon.ru/t/oBEA84o" TargetMode="External"/><Relationship Id="rId1381" Type="http://schemas.openxmlformats.org/officeDocument/2006/relationships/hyperlink" Target="https://wildberries.ru/catalog/127568788/detail.aspx" TargetMode="External"/><Relationship Id="rId183" Type="http://schemas.openxmlformats.org/officeDocument/2006/relationships/hyperlink" Target="https://www.wildberries.ru/catalog/9890738/detail.aspx?targetUrl=SN" TargetMode="External"/><Relationship Id="rId390" Type="http://schemas.openxmlformats.org/officeDocument/2006/relationships/hyperlink" Target="https://ozon.ru/t/8Eander" TargetMode="External"/><Relationship Id="rId404" Type="http://schemas.openxmlformats.org/officeDocument/2006/relationships/hyperlink" Target="https://wildberries.ru/catalog/151962116/detail.aspx" TargetMode="External"/><Relationship Id="rId611" Type="http://schemas.openxmlformats.org/officeDocument/2006/relationships/hyperlink" Target="https://www.alib.ru/10day.php4?epost=flagman25%40mail.ru&amp;pass=1095fb133ac9dfac1b938f4833d01c82&amp;day=2460526" TargetMode="External"/><Relationship Id="rId1034" Type="http://schemas.openxmlformats.org/officeDocument/2006/relationships/hyperlink" Target="https://www.wildberries.ru/catalog/113454370/detail.aspx?size=204409432" TargetMode="External"/><Relationship Id="rId1241" Type="http://schemas.openxmlformats.org/officeDocument/2006/relationships/hyperlink" Target="https://ozon.ru/t/1Rbvk73" TargetMode="External"/><Relationship Id="rId1339" Type="http://schemas.openxmlformats.org/officeDocument/2006/relationships/hyperlink" Target="https://www.wildberries.ru/catalog/238080977/detail.aspx" TargetMode="External"/><Relationship Id="rId250" Type="http://schemas.openxmlformats.org/officeDocument/2006/relationships/hyperlink" Target="https://ozon.ru/t/NVG9G1" TargetMode="External"/><Relationship Id="rId488" Type="http://schemas.openxmlformats.org/officeDocument/2006/relationships/hyperlink" Target="https://rusichspb.ru/tproduct/292052537281-nabor-voina-ozverin" TargetMode="External"/><Relationship Id="rId695" Type="http://schemas.openxmlformats.org/officeDocument/2006/relationships/hyperlink" Target="https://www.wildberries.ru/catalog/83634472/detail.aspx" TargetMode="External"/><Relationship Id="rId709" Type="http://schemas.openxmlformats.org/officeDocument/2006/relationships/hyperlink" Target="https://www.wildberries.ru/catalog/37877684/detail.aspx?targetUrl=MS&amp;size=77814602https://www.wildberries.ru/catalog/37877684/detail.aspx?targetUrl=MS&amp;size=77814602" TargetMode="External"/><Relationship Id="rId916" Type="http://schemas.openxmlformats.org/officeDocument/2006/relationships/hyperlink" Target="https://www.wildberries.ru/catalog/15646668/detail.aspx?size=45269375" TargetMode="External"/><Relationship Id="rId1101" Type="http://schemas.openxmlformats.org/officeDocument/2006/relationships/hyperlink" Target="https://ozon.ru/t/VYbwkXZ" TargetMode="External"/><Relationship Id="rId45" Type="http://schemas.openxmlformats.org/officeDocument/2006/relationships/hyperlink" Target="https://www.wildberries.ru/catalog/168257661/detail.aspx?targetUrl=SN" TargetMode="External"/><Relationship Id="rId110" Type="http://schemas.openxmlformats.org/officeDocument/2006/relationships/hyperlink" Target="https://www.wildberries.ru/catalog/202339773/detail.aspx?targetUrl=SN" TargetMode="External"/><Relationship Id="rId348" Type="http://schemas.openxmlformats.org/officeDocument/2006/relationships/hyperlink" Target="https://www.wildberries.ru/catalog/139992637/detail.aspx?targetUrl=SN" TargetMode="External"/><Relationship Id="rId555" Type="http://schemas.openxmlformats.org/officeDocument/2006/relationships/hyperlink" Target="https://www.wildberries.ru/catalog/165873288/detail.aspx" TargetMode="External"/><Relationship Id="rId762" Type="http://schemas.openxmlformats.org/officeDocument/2006/relationships/hyperlink" Target="https://wildberries.ru/catalog/196775194/detail.aspx" TargetMode="External"/><Relationship Id="rId1185" Type="http://schemas.openxmlformats.org/officeDocument/2006/relationships/hyperlink" Target="https://www.wildberries.ru/catalog/259535326/detail.aspx?size=403561889" TargetMode="External"/><Relationship Id="rId194" Type="http://schemas.openxmlformats.org/officeDocument/2006/relationships/hyperlink" Target="https://ozon.ru/t/daqAJoE" TargetMode="External"/><Relationship Id="rId208" Type="http://schemas.openxmlformats.org/officeDocument/2006/relationships/hyperlink" Target="https://ozon.ru/t/397porg" TargetMode="External"/><Relationship Id="rId415" Type="http://schemas.openxmlformats.org/officeDocument/2006/relationships/hyperlink" Target="https://www.wildberries.ru/catalog/213007503/detail.aspx" TargetMode="External"/><Relationship Id="rId622" Type="http://schemas.openxmlformats.org/officeDocument/2006/relationships/hyperlink" Target="https://ozon.ru/t/BKMoPyQ" TargetMode="External"/><Relationship Id="rId1045" Type="http://schemas.openxmlformats.org/officeDocument/2006/relationships/hyperlink" Target="https://www.wildberries.ru/catalog/207919169/detail.aspx?targetUrl=SN" TargetMode="External"/><Relationship Id="rId1252" Type="http://schemas.openxmlformats.org/officeDocument/2006/relationships/hyperlink" Target="https://wildberries.ru/catalog/177349926/detail.aspx" TargetMode="External"/><Relationship Id="rId261" Type="http://schemas.openxmlformats.org/officeDocument/2006/relationships/hyperlink" Target="https://www.wildberries.ru/catalog/166249855/detail.aspx?targetUrl=SN" TargetMode="External"/><Relationship Id="rId499" Type="http://schemas.openxmlformats.org/officeDocument/2006/relationships/hyperlink" Target="https://ozon.ru/t/7Xp50lb" TargetMode="External"/><Relationship Id="rId927" Type="http://schemas.openxmlformats.org/officeDocument/2006/relationships/hyperlink" Target="https://wildberries.ru/catalog/48846725/detail.aspx" TargetMode="External"/><Relationship Id="rId1112" Type="http://schemas.openxmlformats.org/officeDocument/2006/relationships/hyperlink" Target="https://wildberries.ru/catalog/215829442/detail.aspx" TargetMode="External"/><Relationship Id="rId56" Type="http://schemas.openxmlformats.org/officeDocument/2006/relationships/hyperlink" Target="https://ozon.ru/t/q7ajlVZ" TargetMode="External"/><Relationship Id="rId359" Type="http://schemas.openxmlformats.org/officeDocument/2006/relationships/hyperlink" Target="https://ozon.ru/t/ZZLnwyQ" TargetMode="External"/><Relationship Id="rId566" Type="http://schemas.openxmlformats.org/officeDocument/2006/relationships/hyperlink" Target="https://www.wildberries.ru/catalog/142562637/detail.aspx" TargetMode="External"/><Relationship Id="rId773" Type="http://schemas.openxmlformats.org/officeDocument/2006/relationships/hyperlink" Target="https://ozon.ru/t/q7X2YZZ" TargetMode="External"/><Relationship Id="rId1196" Type="http://schemas.openxmlformats.org/officeDocument/2006/relationships/hyperlink" Target="https://wildberries.ru/catalog/157431357/detail.aspx" TargetMode="External"/><Relationship Id="rId121" Type="http://schemas.openxmlformats.org/officeDocument/2006/relationships/hyperlink" Target="https://www.wildberries.ru/catalog/120772986/detail.aspx?targetUrl=SN" TargetMode="External"/><Relationship Id="rId219" Type="http://schemas.openxmlformats.org/officeDocument/2006/relationships/hyperlink" Target="https://ozon.ru/t/dar3RRV" TargetMode="External"/><Relationship Id="rId426" Type="http://schemas.openxmlformats.org/officeDocument/2006/relationships/hyperlink" Target="https://ozon.ru/t/eAy1Ar8" TargetMode="External"/><Relationship Id="rId633" Type="http://schemas.openxmlformats.org/officeDocument/2006/relationships/hyperlink" Target="https://ozon.ru/t/PYYW0Ry" TargetMode="External"/><Relationship Id="rId980" Type="http://schemas.openxmlformats.org/officeDocument/2006/relationships/hyperlink" Target="https://www.wildberries.ru/catalog/215721879/detail.aspx?targetUrl=SN" TargetMode="External"/><Relationship Id="rId1056" Type="http://schemas.openxmlformats.org/officeDocument/2006/relationships/hyperlink" Target="https://ozon.ru/t/JVeDOvV" TargetMode="External"/><Relationship Id="rId1263" Type="http://schemas.openxmlformats.org/officeDocument/2006/relationships/hyperlink" Target="https://ozon.ru/t/5V8b7NL" TargetMode="External"/><Relationship Id="rId840" Type="http://schemas.openxmlformats.org/officeDocument/2006/relationships/hyperlink" Target="https://www.wildberries.ru/catalog/219370427/detail.aspx" TargetMode="External"/><Relationship Id="rId938" Type="http://schemas.openxmlformats.org/officeDocument/2006/relationships/hyperlink" Target="https://www.wildberries.ru/catalog/235902976/detail.aspx?targetUrl=SN" TargetMode="External"/><Relationship Id="rId67" Type="http://schemas.openxmlformats.org/officeDocument/2006/relationships/hyperlink" Target="https://ozon.ru/t/X4gq3BD" TargetMode="External"/><Relationship Id="rId272" Type="http://schemas.openxmlformats.org/officeDocument/2006/relationships/hyperlink" Target="https://notatorg.ru/detyam-k-paskhe-detskie-prazdniki-stikhi-pesni-zagadki" TargetMode="External"/><Relationship Id="rId577" Type="http://schemas.openxmlformats.org/officeDocument/2006/relationships/hyperlink" Target="https://www.wildberries.ru/catalog/113402302/detail.aspx?targetUrl=SN" TargetMode="External"/><Relationship Id="rId700" Type="http://schemas.openxmlformats.org/officeDocument/2006/relationships/hyperlink" Target="https://ozon.ru/t/54KB8K4" TargetMode="External"/><Relationship Id="rId1123" Type="http://schemas.openxmlformats.org/officeDocument/2006/relationships/hyperlink" Target="https://ozon.ru/t/BZvDPdL" TargetMode="External"/><Relationship Id="rId1330" Type="http://schemas.openxmlformats.org/officeDocument/2006/relationships/hyperlink" Target="https://www.avito.ru/usman/posuda_i_tovary_dlya_kuhni/kastryulya_emalirovannaya_40_litrov_3564441466" TargetMode="External"/><Relationship Id="rId132" Type="http://schemas.openxmlformats.org/officeDocument/2006/relationships/hyperlink" Target="https://ozon.ru/t/bb1L30y" TargetMode="External"/><Relationship Id="rId784" Type="http://schemas.openxmlformats.org/officeDocument/2006/relationships/hyperlink" Target="https://www.chitai-gorod.ru/product/zaychik-seva-delitsya-s-druzyami-poleznye-skazki-2861990" TargetMode="External"/><Relationship Id="rId991" Type="http://schemas.openxmlformats.org/officeDocument/2006/relationships/hyperlink" Target="https://ozon.ru/t/yakzm7m" TargetMode="External"/><Relationship Id="rId1067" Type="http://schemas.openxmlformats.org/officeDocument/2006/relationships/hyperlink" Target="https://ozon.ru/t/Q04DlOy" TargetMode="External"/><Relationship Id="rId437" Type="http://schemas.openxmlformats.org/officeDocument/2006/relationships/hyperlink" Target="https://wildberries.ru/catalog/173001095/detail.aspx" TargetMode="External"/><Relationship Id="rId644" Type="http://schemas.openxmlformats.org/officeDocument/2006/relationships/hyperlink" Target="https://wildberries.ru/catalog/225897272/detail.aspx" TargetMode="External"/><Relationship Id="rId851" Type="http://schemas.openxmlformats.org/officeDocument/2006/relationships/hyperlink" Target="https://wildberries.ru/catalog/219772018/detail.aspx" TargetMode="External"/><Relationship Id="rId1274" Type="http://schemas.openxmlformats.org/officeDocument/2006/relationships/hyperlink" Target="https://ozon.ru/t/4p6NdDa" TargetMode="External"/><Relationship Id="rId283" Type="http://schemas.openxmlformats.org/officeDocument/2006/relationships/hyperlink" Target="https://www.wildberries.ru/catalog/48026311/detail.aspx?targetUrl=SN" TargetMode="External"/><Relationship Id="rId490" Type="http://schemas.openxmlformats.org/officeDocument/2006/relationships/hyperlink" Target="https://ozon.ru/t/lp4pQ1d" TargetMode="External"/><Relationship Id="rId504" Type="http://schemas.openxmlformats.org/officeDocument/2006/relationships/hyperlink" Target="https://wildberries.ru/catalog/191546358/detail.aspx" TargetMode="External"/><Relationship Id="rId711" Type="http://schemas.openxmlformats.org/officeDocument/2006/relationships/hyperlink" Target="https://www.wildberries.ru/catalog/154593027/detail.aspx?targetUrl=MS&amp;size=258159870\" TargetMode="External"/><Relationship Id="rId949" Type="http://schemas.openxmlformats.org/officeDocument/2006/relationships/hyperlink" Target="https://ozon.ru/t/ZnNpZzV" TargetMode="External"/><Relationship Id="rId1134" Type="http://schemas.openxmlformats.org/officeDocument/2006/relationships/hyperlink" Target="https://www.wildberries.ru/catalog/274797314/detail.aspx" TargetMode="External"/><Relationship Id="rId1341" Type="http://schemas.openxmlformats.org/officeDocument/2006/relationships/hyperlink" Target="https://www.wildberries.ru/catalog/212229059/detail.aspx" TargetMode="External"/><Relationship Id="rId78" Type="http://schemas.openxmlformats.org/officeDocument/2006/relationships/hyperlink" Target="https://www.wildberries.ru/catalog/190319088/detail.aspx?size=311264954" TargetMode="External"/><Relationship Id="rId143" Type="http://schemas.openxmlformats.org/officeDocument/2006/relationships/hyperlink" Target="https://lillu.ru/kniga-detskaya-krotik-i-shtanishki-i-drugie-istorii-seriya-detskaya-biblioteka-rosmen-novaya-rosmen-08353-5/" TargetMode="External"/><Relationship Id="rId350" Type="http://schemas.openxmlformats.org/officeDocument/2006/relationships/hyperlink" Target="https://www.wildberries.ru/catalog/81313349/detail.aspx?targetUrl=SN" TargetMode="External"/><Relationship Id="rId588" Type="http://schemas.openxmlformats.org/officeDocument/2006/relationships/hyperlink" Target="https://ozon.ru/t/yla2yW3" TargetMode="External"/><Relationship Id="rId795" Type="http://schemas.openxmlformats.org/officeDocument/2006/relationships/hyperlink" Target="https://ozon.ru/t/BldEWeP" TargetMode="External"/><Relationship Id="rId809" Type="http://schemas.openxmlformats.org/officeDocument/2006/relationships/hyperlink" Target="https://wildberries.ru/catalog/192113574/detail.aspx" TargetMode="External"/><Relationship Id="rId1201" Type="http://schemas.openxmlformats.org/officeDocument/2006/relationships/hyperlink" Target="https://wildberries.ru/catalog/168643323/detail.aspx" TargetMode="External"/><Relationship Id="rId9" Type="http://schemas.openxmlformats.org/officeDocument/2006/relationships/hyperlink" Target="https://www.ozon.ru/product/deshedder-shetka-dlya-vychesyvaniya-shersti-puhoderka-chesalka-dlya-zhivotnyh-sobak-i-1202945542/?from=share_android&amp;utm_campaign=productpage_link&amp;utm_medium=share_button&amp;utm_source=smm" TargetMode="External"/><Relationship Id="rId210" Type="http://schemas.openxmlformats.org/officeDocument/2006/relationships/hyperlink" Target="https://ozon.ru/t/zzByX7D" TargetMode="External"/><Relationship Id="rId448" Type="http://schemas.openxmlformats.org/officeDocument/2006/relationships/hyperlink" Target="https://ozon.ru/t/d0Vje8r" TargetMode="External"/><Relationship Id="rId655" Type="http://schemas.openxmlformats.org/officeDocument/2006/relationships/hyperlink" Target="https://ozon.ru/t/0lBBL6j" TargetMode="External"/><Relationship Id="rId862" Type="http://schemas.openxmlformats.org/officeDocument/2006/relationships/hyperlink" Target="https://www.wildberries.ru/catalog/229188682/detail.aspx" TargetMode="External"/><Relationship Id="rId1078" Type="http://schemas.openxmlformats.org/officeDocument/2006/relationships/hyperlink" Target="https://wildberries.ru/catalog/21067254/detail.aspx" TargetMode="External"/><Relationship Id="rId1285" Type="http://schemas.openxmlformats.org/officeDocument/2006/relationships/hyperlink" Target="https://www.detmir.ru/product/index/id/3186666/" TargetMode="External"/><Relationship Id="rId294" Type="http://schemas.openxmlformats.org/officeDocument/2006/relationships/hyperlink" Target="https://www.wildberries.ru/catalog/123045992/detail.aspx?targetUrl=SN" TargetMode="External"/><Relationship Id="rId308" Type="http://schemas.openxmlformats.org/officeDocument/2006/relationships/hyperlink" Target="https://ozon.ru/t/2wNzoG/" TargetMode="External"/><Relationship Id="rId515" Type="http://schemas.openxmlformats.org/officeDocument/2006/relationships/hyperlink" Target="https://ozon.ru/t/JlVLBkj" TargetMode="External"/><Relationship Id="rId722" Type="http://schemas.openxmlformats.org/officeDocument/2006/relationships/hyperlink" Target="https://wildberries.ru/catalog/230730287/detail.aspx" TargetMode="External"/><Relationship Id="rId1145" Type="http://schemas.openxmlformats.org/officeDocument/2006/relationships/hyperlink" Target="https://wildberries.ru/catalog/226779853/detail.aspx" TargetMode="External"/><Relationship Id="rId1352" Type="http://schemas.openxmlformats.org/officeDocument/2006/relationships/hyperlink" Target="https://www.wildberries.ru/catalog/147761800/detail.aspx?size=248335550" TargetMode="External"/><Relationship Id="rId89" Type="http://schemas.openxmlformats.org/officeDocument/2006/relationships/hyperlink" Target="https://www.wildberries.ru/catalog/179286412/detail.aspx" TargetMode="External"/><Relationship Id="rId154" Type="http://schemas.openxmlformats.org/officeDocument/2006/relationships/hyperlink" Target="https://www.wildberries.ru/catalog/156018464/detail.aspx?targetUrl=SN" TargetMode="External"/><Relationship Id="rId361" Type="http://schemas.openxmlformats.org/officeDocument/2006/relationships/hyperlink" Target="https://ozon.ru/t/zVlwdNq" TargetMode="External"/><Relationship Id="rId599" Type="http://schemas.openxmlformats.org/officeDocument/2006/relationships/hyperlink" Target="https://ozon.ru/t/aea8XQZ" TargetMode="External"/><Relationship Id="rId1005" Type="http://schemas.openxmlformats.org/officeDocument/2006/relationships/hyperlink" Target="https://ozon.ru/t/mLzYE7V" TargetMode="External"/><Relationship Id="rId1212" Type="http://schemas.openxmlformats.org/officeDocument/2006/relationships/hyperlink" Target="https://www.wildberries.ru/catalog/210714793/detail.aspx?size=337096609" TargetMode="External"/><Relationship Id="rId459" Type="http://schemas.openxmlformats.org/officeDocument/2006/relationships/hyperlink" Target="https://wildberries.ru/catalog/220471752/detail.aspx" TargetMode="External"/><Relationship Id="rId666" Type="http://schemas.openxmlformats.org/officeDocument/2006/relationships/hyperlink" Target="https://www.wildberries.ru/catalog/230292681/detail.aspx?size=363722779" TargetMode="External"/><Relationship Id="rId873" Type="http://schemas.openxmlformats.org/officeDocument/2006/relationships/hyperlink" Target="https://wildberries.ru/catalog/210895313/detail.aspx" TargetMode="External"/><Relationship Id="rId1089" Type="http://schemas.openxmlformats.org/officeDocument/2006/relationships/hyperlink" Target="https://wildberries.ru/catalog/17220845/detail.aspx" TargetMode="External"/><Relationship Id="rId1296" Type="http://schemas.openxmlformats.org/officeDocument/2006/relationships/hyperlink" Target="https://wildberries.ru/catalog/297351462/detail.aspx" TargetMode="External"/><Relationship Id="rId16" Type="http://schemas.openxmlformats.org/officeDocument/2006/relationships/hyperlink" Target="https://www.wildberries.ru/catalog/202886356/detail.aspx" TargetMode="External"/><Relationship Id="rId221" Type="http://schemas.openxmlformats.org/officeDocument/2006/relationships/hyperlink" Target="https://ozon.ru/t/rPD4dyq" TargetMode="External"/><Relationship Id="rId319" Type="http://schemas.openxmlformats.org/officeDocument/2006/relationships/hyperlink" Target="https://www.avito.ru/arhangelsk/sport_i_otdyh/roliki_detskie_2561553836" TargetMode="External"/><Relationship Id="rId526" Type="http://schemas.openxmlformats.org/officeDocument/2006/relationships/hyperlink" Target="https://www.wildberries.ru/catalog/170145023/detail.aspx" TargetMode="External"/><Relationship Id="rId1156" Type="http://schemas.openxmlformats.org/officeDocument/2006/relationships/hyperlink" Target="https://wildberries.ru/catalog/179163338/detail.aspx" TargetMode="External"/><Relationship Id="rId1363" Type="http://schemas.openxmlformats.org/officeDocument/2006/relationships/hyperlink" Target="https://www.wildberries.ru/catalog/98756764/detail.aspx?size=156086368" TargetMode="External"/><Relationship Id="rId733" Type="http://schemas.openxmlformats.org/officeDocument/2006/relationships/hyperlink" Target="https://www.wildberries.ru/catalog/235361900/detail.aspx?size=370899790" TargetMode="External"/><Relationship Id="rId940" Type="http://schemas.openxmlformats.org/officeDocument/2006/relationships/hyperlink" Target="https://www.wildberries.ru/catalog/265008365/detail.aspx?size=411304962" TargetMode="External"/><Relationship Id="rId1016" Type="http://schemas.openxmlformats.org/officeDocument/2006/relationships/hyperlink" Target="https://wildberries.ru/catalog/202115847/detail.aspx" TargetMode="External"/><Relationship Id="rId165" Type="http://schemas.openxmlformats.org/officeDocument/2006/relationships/hyperlink" Target="https://www.wildberries.ru/catalog/206059694/detail.aspx?targetUrl=SN" TargetMode="External"/><Relationship Id="rId372" Type="http://schemas.openxmlformats.org/officeDocument/2006/relationships/hyperlink" Target="https://ozon.ru/t/P49bQVJ" TargetMode="External"/><Relationship Id="rId677" Type="http://schemas.openxmlformats.org/officeDocument/2006/relationships/hyperlink" Target="https://ozon.ru/t/5wNw4Mn" TargetMode="External"/><Relationship Id="rId800" Type="http://schemas.openxmlformats.org/officeDocument/2006/relationships/hyperlink" Target="https://www.wildberries.ru/catalog/238291818/detail.aspx?targetUrl=SN" TargetMode="External"/><Relationship Id="rId1223" Type="http://schemas.openxmlformats.org/officeDocument/2006/relationships/hyperlink" Target="https://ozon.ru/t/2XZy9L9" TargetMode="External"/><Relationship Id="rId232" Type="http://schemas.openxmlformats.org/officeDocument/2006/relationships/hyperlink" Target="https://www.wildberries.ru/catalog/20835741/detail.aspx?targetUrl=SN" TargetMode="External"/><Relationship Id="rId884" Type="http://schemas.openxmlformats.org/officeDocument/2006/relationships/hyperlink" Target="https://www.wildberries.ru/catalog/171991175/detail.aspx?size=285425007" TargetMode="External"/><Relationship Id="rId27" Type="http://schemas.openxmlformats.org/officeDocument/2006/relationships/hyperlink" Target="https://www.wildberries.ru/catalog/115002412/detail.aspx" TargetMode="External"/><Relationship Id="rId537" Type="http://schemas.openxmlformats.org/officeDocument/2006/relationships/hyperlink" Target="https://ozon.ru/t/d5WWzZ8" TargetMode="External"/><Relationship Id="rId744" Type="http://schemas.openxmlformats.org/officeDocument/2006/relationships/hyperlink" Target="https://aliexpress.ru/item/32967650382.html?sku_id=66538983013" TargetMode="External"/><Relationship Id="rId951" Type="http://schemas.openxmlformats.org/officeDocument/2006/relationships/hyperlink" Target="https://ozon.ru/t/7867EAE" TargetMode="External"/><Relationship Id="rId1167" Type="http://schemas.openxmlformats.org/officeDocument/2006/relationships/hyperlink" Target="https://www.wildberries.ru/catalog/266155086/detail.aspx?size=412831966" TargetMode="External"/><Relationship Id="rId1374" Type="http://schemas.openxmlformats.org/officeDocument/2006/relationships/hyperlink" Target="https://ozon.ru/t/46NPMM9" TargetMode="External"/><Relationship Id="rId80" Type="http://schemas.openxmlformats.org/officeDocument/2006/relationships/hyperlink" Target="https://www.wildberries.ru/catalog/149004581/detail.aspx?size=250153065" TargetMode="External"/><Relationship Id="rId176" Type="http://schemas.openxmlformats.org/officeDocument/2006/relationships/hyperlink" Target="https://ozon.ru/t/26By0GV" TargetMode="External"/><Relationship Id="rId383" Type="http://schemas.openxmlformats.org/officeDocument/2006/relationships/hyperlink" Target="https://wildberries.ru/catalog/216105569/detail.aspx" TargetMode="External"/><Relationship Id="rId590" Type="http://schemas.openxmlformats.org/officeDocument/2006/relationships/hyperlink" Target="https://www.wildberries.ru/catalog/219653908/detail.aspx" TargetMode="External"/><Relationship Id="rId604" Type="http://schemas.openxmlformats.org/officeDocument/2006/relationships/hyperlink" Target="https://ozon.ru/t/Np75PzN" TargetMode="External"/><Relationship Id="rId811" Type="http://schemas.openxmlformats.org/officeDocument/2006/relationships/hyperlink" Target="https://wildberries.ru/catalog/28913497/detail.aspx" TargetMode="External"/><Relationship Id="rId1027" Type="http://schemas.openxmlformats.org/officeDocument/2006/relationships/hyperlink" Target="https://www.wildberries.ru/catalog/220794311/detail.aspx?size=350879587" TargetMode="External"/><Relationship Id="rId1234" Type="http://schemas.openxmlformats.org/officeDocument/2006/relationships/hyperlink" Target="https://wildberries.ru/catalog/266814877/detail.aspx" TargetMode="External"/><Relationship Id="rId243" Type="http://schemas.openxmlformats.org/officeDocument/2006/relationships/hyperlink" Target="https://ozon.ru/t/a288Bp" TargetMode="External"/><Relationship Id="rId450" Type="http://schemas.openxmlformats.org/officeDocument/2006/relationships/hyperlink" Target="https://ozon.ru/t/LdDN0Bg" TargetMode="External"/><Relationship Id="rId688" Type="http://schemas.openxmlformats.org/officeDocument/2006/relationships/hyperlink" Target="https://wildberries.ru/catalog/229414401/detail.aspx" TargetMode="External"/><Relationship Id="rId895" Type="http://schemas.openxmlformats.org/officeDocument/2006/relationships/hyperlink" Target="https://wildberries.ru/catalog/187857416/detail.aspx" TargetMode="External"/><Relationship Id="rId909" Type="http://schemas.openxmlformats.org/officeDocument/2006/relationships/hyperlink" Target="https://ozon.ru/t/0RNpvkZ/" TargetMode="External"/><Relationship Id="rId1080" Type="http://schemas.openxmlformats.org/officeDocument/2006/relationships/hyperlink" Target="https://www.wildberries.ru/catalog/183655553/detail.aspx?size=302718166" TargetMode="External"/><Relationship Id="rId1301" Type="http://schemas.openxmlformats.org/officeDocument/2006/relationships/hyperlink" Target="https://www.wildberries.ru/catalog/98718321/detail.aspx" TargetMode="External"/><Relationship Id="rId38" Type="http://schemas.openxmlformats.org/officeDocument/2006/relationships/hyperlink" Target="https://ozon.ru/t/akQMbwo" TargetMode="External"/><Relationship Id="rId103" Type="http://schemas.openxmlformats.org/officeDocument/2006/relationships/hyperlink" Target="https://www.wildberries.ru/catalog/214203684/detail.aspx?targetUrl=SG" TargetMode="External"/><Relationship Id="rId310" Type="http://schemas.openxmlformats.org/officeDocument/2006/relationships/hyperlink" Target="https://ozon.ru/t/gbA2JR" TargetMode="External"/><Relationship Id="rId548" Type="http://schemas.openxmlformats.org/officeDocument/2006/relationships/hyperlink" Target="https://wildberries.ru/catalog/209294110/detail.aspx" TargetMode="External"/><Relationship Id="rId755" Type="http://schemas.openxmlformats.org/officeDocument/2006/relationships/hyperlink" Target="https://www.wildberries.ru/catalog/189364747/detail.aspx" TargetMode="External"/><Relationship Id="rId962" Type="http://schemas.openxmlformats.org/officeDocument/2006/relationships/hyperlink" Target="https://www.wildberries.ru/catalog/210881437/detail.aspx?targetUrl=SN" TargetMode="External"/><Relationship Id="rId1178" Type="http://schemas.openxmlformats.org/officeDocument/2006/relationships/hyperlink" Target="https://www.avito.ru/sankt-peterburg/zapchasti_i_aksessuary/steklo_dveri_peredney_pravoy_honda_civic_2069965902" TargetMode="External"/><Relationship Id="rId1385" Type="http://schemas.openxmlformats.org/officeDocument/2006/relationships/comments" Target="../comments1.xml"/><Relationship Id="rId91" Type="http://schemas.openxmlformats.org/officeDocument/2006/relationships/hyperlink" Target="https://ozon.ru/t/l3kjqPJ" TargetMode="External"/><Relationship Id="rId187" Type="http://schemas.openxmlformats.org/officeDocument/2006/relationships/hyperlink" Target="https://www.wildberries.ru/catalog/182128008/detail.aspx?targetUrl=SN" TargetMode="External"/><Relationship Id="rId394" Type="http://schemas.openxmlformats.org/officeDocument/2006/relationships/hyperlink" Target="https://www.wildberries.ru/catalog/189413795/detail.aspx?targetUrl=SN" TargetMode="External"/><Relationship Id="rId408" Type="http://schemas.openxmlformats.org/officeDocument/2006/relationships/hyperlink" Target="https://www.wildberries.ru/catalog/163018387/detail.aspx" TargetMode="External"/><Relationship Id="rId615" Type="http://schemas.openxmlformats.org/officeDocument/2006/relationships/hyperlink" Target="https://ozon.ru/t/VPQboQ7" TargetMode="External"/><Relationship Id="rId822" Type="http://schemas.openxmlformats.org/officeDocument/2006/relationships/hyperlink" Target="https://ozon.ru/t/Qxb9Y1L" TargetMode="External"/><Relationship Id="rId1038" Type="http://schemas.openxmlformats.org/officeDocument/2006/relationships/hyperlink" Target="https://ozon.ru/t/J6D2n8m" TargetMode="External"/><Relationship Id="rId1245" Type="http://schemas.openxmlformats.org/officeDocument/2006/relationships/hyperlink" Target="https://wildberries.ru/catalog/210893485/detail.aspx" TargetMode="External"/><Relationship Id="rId254" Type="http://schemas.openxmlformats.org/officeDocument/2006/relationships/hyperlink" Target="https://ozon.ru/t/MV7Kjy" TargetMode="External"/><Relationship Id="rId699" Type="http://schemas.openxmlformats.org/officeDocument/2006/relationships/hyperlink" Target="https://wildberries.ru/catalog/204576970/detail.aspx" TargetMode="External"/><Relationship Id="rId1091" Type="http://schemas.openxmlformats.org/officeDocument/2006/relationships/hyperlink" Target="https://wildberries.ru/catalog/210061094/detail.aspx" TargetMode="External"/><Relationship Id="rId1105" Type="http://schemas.openxmlformats.org/officeDocument/2006/relationships/hyperlink" Target="https://ozon.ru/t/Dy4LpdM" TargetMode="External"/><Relationship Id="rId1312" Type="http://schemas.openxmlformats.org/officeDocument/2006/relationships/hyperlink" Target="https://zyorna.ru/catalog/item/nabor-myagkih-magnitov-s-rozhdestvom-hristovym-deti-i-snegovik-babushka-s-vnukom-98018" TargetMode="External"/><Relationship Id="rId49" Type="http://schemas.openxmlformats.org/officeDocument/2006/relationships/hyperlink" Target="https://ozon.ru/t/NP6yLWY" TargetMode="External"/><Relationship Id="rId114" Type="http://schemas.openxmlformats.org/officeDocument/2006/relationships/hyperlink" Target="https://www.wildberries.ru/catalog/17694283/detail.aspx?targetUrl=SN" TargetMode="External"/><Relationship Id="rId461" Type="http://schemas.openxmlformats.org/officeDocument/2006/relationships/hyperlink" Target="https://wildberries.ru/catalog/232195241/detail.aspx" TargetMode="External"/><Relationship Id="rId559" Type="http://schemas.openxmlformats.org/officeDocument/2006/relationships/hyperlink" Target="https://ozon.ru/t/jk9Xogr" TargetMode="External"/><Relationship Id="rId766" Type="http://schemas.openxmlformats.org/officeDocument/2006/relationships/hyperlink" Target="https://wildberries.ru/catalog/206374451/detail.aspx" TargetMode="External"/><Relationship Id="rId1189" Type="http://schemas.openxmlformats.org/officeDocument/2006/relationships/hyperlink" Target="https://wildberries.ru/catalog/195451884/detail.aspx" TargetMode="External"/><Relationship Id="rId198" Type="http://schemas.openxmlformats.org/officeDocument/2006/relationships/hyperlink" Target="https://ozon.ru/t/39jNJZg" TargetMode="External"/><Relationship Id="rId321" Type="http://schemas.openxmlformats.org/officeDocument/2006/relationships/hyperlink" Target="https://wildberries.ru/catalog/206777673/detail.aspx" TargetMode="External"/><Relationship Id="rId419" Type="http://schemas.openxmlformats.org/officeDocument/2006/relationships/hyperlink" Target="https://www.wildberries.ru/catalog/63708377/detail.aspx?targetUrl=EX" TargetMode="External"/><Relationship Id="rId626" Type="http://schemas.openxmlformats.org/officeDocument/2006/relationships/hyperlink" Target="https://ozon.ru/t/9KK8PMr" TargetMode="External"/><Relationship Id="rId973" Type="http://schemas.openxmlformats.org/officeDocument/2006/relationships/hyperlink" Target="https://wildberries.ru/catalog/181455493/detail.aspx" TargetMode="External"/><Relationship Id="rId1049" Type="http://schemas.openxmlformats.org/officeDocument/2006/relationships/hyperlink" Target="https://www.wildberries.ru/catalog/236045589/detail.aspx" TargetMode="External"/><Relationship Id="rId1256" Type="http://schemas.openxmlformats.org/officeDocument/2006/relationships/hyperlink" Target="https://www.wildberries.ru/catalog/275338134/detail.aspx" TargetMode="External"/><Relationship Id="rId833" Type="http://schemas.openxmlformats.org/officeDocument/2006/relationships/hyperlink" Target="https://www.wildberries.ru/catalog/28748778/detail.aspx" TargetMode="External"/><Relationship Id="rId1116" Type="http://schemas.openxmlformats.org/officeDocument/2006/relationships/hyperlink" Target="https://ozon.ru/t/M81EEPx" TargetMode="External"/><Relationship Id="rId265" Type="http://schemas.openxmlformats.org/officeDocument/2006/relationships/hyperlink" Target="https://www.wildberries.ru/catalog/219300200/detail.aspx?targetUrl=SN" TargetMode="External"/><Relationship Id="rId472" Type="http://schemas.openxmlformats.org/officeDocument/2006/relationships/hyperlink" Target="https://ozon.ru/t/BkdlwPM" TargetMode="External"/><Relationship Id="rId900" Type="http://schemas.openxmlformats.org/officeDocument/2006/relationships/hyperlink" Target="https://ozon.ru/t/wk34Ll4" TargetMode="External"/><Relationship Id="rId1323" Type="http://schemas.openxmlformats.org/officeDocument/2006/relationships/hyperlink" Target="https://www.wildberries.ru/catalog/169442892/detail.aspx" TargetMode="External"/><Relationship Id="rId125" Type="http://schemas.openxmlformats.org/officeDocument/2006/relationships/hyperlink" Target="https://ozon.ru/t/5jzDreN" TargetMode="External"/><Relationship Id="rId332" Type="http://schemas.openxmlformats.org/officeDocument/2006/relationships/hyperlink" Target="https://www.wildberries.ru/catalog/193579367/detail.aspx?targetUrl=SN" TargetMode="External"/><Relationship Id="rId777" Type="http://schemas.openxmlformats.org/officeDocument/2006/relationships/hyperlink" Target="https://www.ozon.ru/product/rozhdestvo-hristovo-1429926912/" TargetMode="External"/><Relationship Id="rId984" Type="http://schemas.openxmlformats.org/officeDocument/2006/relationships/hyperlink" Target="https://ozon.ru/t/mKeV9B" TargetMode="External"/><Relationship Id="rId637" Type="http://schemas.openxmlformats.org/officeDocument/2006/relationships/hyperlink" Target="https://www.avito.ru/volgodonsk/zapchasti_i_aksessuary/bagazhnik_na_kryshu_vaz_2107_4085980076" TargetMode="External"/><Relationship Id="rId844" Type="http://schemas.openxmlformats.org/officeDocument/2006/relationships/hyperlink" Target="https://www.wildberries.ru/catalog/90357363/detail.aspx?size=145511782" TargetMode="External"/><Relationship Id="rId1267" Type="http://schemas.openxmlformats.org/officeDocument/2006/relationships/hyperlink" Target="https://wildberries.ru/catalog/103582298/detail.aspx" TargetMode="External"/><Relationship Id="rId276" Type="http://schemas.openxmlformats.org/officeDocument/2006/relationships/hyperlink" Target="http://slovo.net.ru/book/108325" TargetMode="External"/><Relationship Id="rId483" Type="http://schemas.openxmlformats.org/officeDocument/2006/relationships/hyperlink" Target="https://avito.ru/2461113439" TargetMode="External"/><Relationship Id="rId690" Type="http://schemas.openxmlformats.org/officeDocument/2006/relationships/hyperlink" Target="https://www.wildberries.ru/catalog/25872024/detail.aspx" TargetMode="External"/><Relationship Id="rId704" Type="http://schemas.openxmlformats.org/officeDocument/2006/relationships/hyperlink" Target="https://ozon.ru/t/rLAXGK3" TargetMode="External"/><Relationship Id="rId911" Type="http://schemas.openxmlformats.org/officeDocument/2006/relationships/hyperlink" Target="https://www.wildberries.ru/catalog/238491956/detail.aspx" TargetMode="External"/><Relationship Id="rId1127" Type="http://schemas.openxmlformats.org/officeDocument/2006/relationships/hyperlink" Target="https://ozon.ru/t/jONzJPG" TargetMode="External"/><Relationship Id="rId1334" Type="http://schemas.openxmlformats.org/officeDocument/2006/relationships/hyperlink" Target="https://www.wildberries.ru/catalog/183376238/detail.aspx?size=302239255" TargetMode="External"/><Relationship Id="rId40" Type="http://schemas.openxmlformats.org/officeDocument/2006/relationships/hyperlink" Target="https://ozon.ru/t/ZkGMjgq" TargetMode="External"/><Relationship Id="rId136" Type="http://schemas.openxmlformats.org/officeDocument/2006/relationships/hyperlink" Target="https://ozon.ru/t/66JgeAw" TargetMode="External"/><Relationship Id="rId343" Type="http://schemas.openxmlformats.org/officeDocument/2006/relationships/hyperlink" Target="https://ozon.ru/t/n6RwJee" TargetMode="External"/><Relationship Id="rId550" Type="http://schemas.openxmlformats.org/officeDocument/2006/relationships/hyperlink" Target="https://wildberries.ru/catalog/28219125/detail.aspx" TargetMode="External"/><Relationship Id="rId788" Type="http://schemas.openxmlformats.org/officeDocument/2006/relationships/hyperlink" Target="https://www.wildberries.ru/catalog/2758527/detail.aspx?targetUrl=SN" TargetMode="External"/><Relationship Id="rId995" Type="http://schemas.openxmlformats.org/officeDocument/2006/relationships/hyperlink" Target="https://www.wildberries.ru/catalog/231615064/detail.aspx" TargetMode="External"/><Relationship Id="rId1180" Type="http://schemas.openxmlformats.org/officeDocument/2006/relationships/hyperlink" Target="https://ozon.ru/t/P7O8Yp" TargetMode="External"/><Relationship Id="rId203" Type="http://schemas.openxmlformats.org/officeDocument/2006/relationships/hyperlink" Target="https://ozon.ru/t/wXr68Wg" TargetMode="External"/><Relationship Id="rId648" Type="http://schemas.openxmlformats.org/officeDocument/2006/relationships/hyperlink" Target="https://www.wildberries.ru/catalog/214970343/detail.aspx" TargetMode="External"/><Relationship Id="rId855" Type="http://schemas.openxmlformats.org/officeDocument/2006/relationships/hyperlink" Target="https://wildberries.ru/catalog/248168226/detail.aspx" TargetMode="External"/><Relationship Id="rId1040" Type="http://schemas.openxmlformats.org/officeDocument/2006/relationships/hyperlink" Target="https://ozon.ru/t/2eLknnK" TargetMode="External"/><Relationship Id="rId1278" Type="http://schemas.openxmlformats.org/officeDocument/2006/relationships/hyperlink" Target="https://ozon.ru/t/9pAeyOP" TargetMode="External"/><Relationship Id="rId287" Type="http://schemas.openxmlformats.org/officeDocument/2006/relationships/hyperlink" Target="https://www.wildberries.ru/catalog/10025859/detail.aspx?targetUrl=SN" TargetMode="External"/><Relationship Id="rId410" Type="http://schemas.openxmlformats.org/officeDocument/2006/relationships/hyperlink" Target="https://www.wildberries.ru/catalog/149491524/detail.aspx" TargetMode="External"/><Relationship Id="rId494" Type="http://schemas.openxmlformats.org/officeDocument/2006/relationships/hyperlink" Target="https://ozon.ru/t/KKwK06L" TargetMode="External"/><Relationship Id="rId508" Type="http://schemas.openxmlformats.org/officeDocument/2006/relationships/hyperlink" Target="https://www.wildberries.ru/catalog/15296787/detail.aspx" TargetMode="External"/><Relationship Id="rId715" Type="http://schemas.openxmlformats.org/officeDocument/2006/relationships/hyperlink" Target="https://wildberries.ru/catalog/87562398/detail.aspx" TargetMode="External"/><Relationship Id="rId922" Type="http://schemas.openxmlformats.org/officeDocument/2006/relationships/hyperlink" Target="https://wildberries.ru/catalog/248932654/detail.aspx" TargetMode="External"/><Relationship Id="rId1138" Type="http://schemas.openxmlformats.org/officeDocument/2006/relationships/hyperlink" Target="https://wildberries.ru/catalog/249237458/detail.aspx" TargetMode="External"/><Relationship Id="rId1345" Type="http://schemas.openxmlformats.org/officeDocument/2006/relationships/hyperlink" Target="https://wildberries.ru/catalog/278835978/detail.aspx" TargetMode="External"/><Relationship Id="rId147" Type="http://schemas.openxmlformats.org/officeDocument/2006/relationships/hyperlink" Target="https://market.yandex.ru/cc/aK6T9ME" TargetMode="External"/><Relationship Id="rId354" Type="http://schemas.openxmlformats.org/officeDocument/2006/relationships/hyperlink" Target="https://ozon.ru/t/VgDN7eb" TargetMode="External"/><Relationship Id="rId799" Type="http://schemas.openxmlformats.org/officeDocument/2006/relationships/hyperlink" Target="https://lampada.su/dzhinoriya-malhaz.-vasha-zhizn-eto-moya-zhizn-poucheniya-startsa-gavriila-urgebadze-i-vospominaniya-o-nem/" TargetMode="External"/><Relationship Id="rId1191" Type="http://schemas.openxmlformats.org/officeDocument/2006/relationships/hyperlink" Target="https://ozon.ru/t/Ybydqey" TargetMode="External"/><Relationship Id="rId1205" Type="http://schemas.openxmlformats.org/officeDocument/2006/relationships/hyperlink" Target="https://wildberries.ru/catalog/47189662/detail.aspx" TargetMode="External"/><Relationship Id="rId51" Type="http://schemas.openxmlformats.org/officeDocument/2006/relationships/hyperlink" Target="https://ozon.ru/t/pa40p0b" TargetMode="External"/><Relationship Id="rId561" Type="http://schemas.openxmlformats.org/officeDocument/2006/relationships/hyperlink" Target="https://wildberries.ru/catalog/115942671/detail.aspx" TargetMode="External"/><Relationship Id="rId659" Type="http://schemas.openxmlformats.org/officeDocument/2006/relationships/hyperlink" Target="https://wildberries.ru/catalog/245590340/detail.aspx" TargetMode="External"/><Relationship Id="rId866" Type="http://schemas.openxmlformats.org/officeDocument/2006/relationships/hyperlink" Target="https://ozon.ru/t/mq7agKe" TargetMode="External"/><Relationship Id="rId1289" Type="http://schemas.openxmlformats.org/officeDocument/2006/relationships/hyperlink" Target="https://www.wildberries.ru/catalog/202521597/detail.aspx" TargetMode="External"/><Relationship Id="rId214" Type="http://schemas.openxmlformats.org/officeDocument/2006/relationships/hyperlink" Target="https://ozon.ru/t/l3nGdpR" TargetMode="External"/><Relationship Id="rId298" Type="http://schemas.openxmlformats.org/officeDocument/2006/relationships/hyperlink" Target="https://www.wildberries.ru/catalog/88143084/detail.aspx?targetUrl=SN" TargetMode="External"/><Relationship Id="rId421" Type="http://schemas.openxmlformats.org/officeDocument/2006/relationships/hyperlink" Target="https://www.wildberries.ru/catalog/168391197/detail.aspx" TargetMode="External"/><Relationship Id="rId519" Type="http://schemas.openxmlformats.org/officeDocument/2006/relationships/hyperlink" Target="https://www.wildberries.ru/catalog/4231393/detail.aspx?targetUrl=SN" TargetMode="External"/><Relationship Id="rId1051" Type="http://schemas.openxmlformats.org/officeDocument/2006/relationships/hyperlink" Target="https://www.wildberries.ru/catalog/7650224/detail.aspx" TargetMode="External"/><Relationship Id="rId1149" Type="http://schemas.openxmlformats.org/officeDocument/2006/relationships/hyperlink" Target="https://www.wildberries.ru/catalog/110725139/detail.aspx?size=200915069" TargetMode="External"/><Relationship Id="rId1356" Type="http://schemas.openxmlformats.org/officeDocument/2006/relationships/hyperlink" Target="https://wildberries.ru/catalog/52008648/detail.aspx" TargetMode="External"/><Relationship Id="rId158" Type="http://schemas.openxmlformats.org/officeDocument/2006/relationships/hyperlink" Target="https://ozon.ru/t/aoLQA2Z" TargetMode="External"/><Relationship Id="rId726" Type="http://schemas.openxmlformats.org/officeDocument/2006/relationships/hyperlink" Target="https://ozon.ru/t/grRX2Kj" TargetMode="External"/><Relationship Id="rId933" Type="http://schemas.openxmlformats.org/officeDocument/2006/relationships/hyperlink" Target="https://wildberries.ru/catalog/48988097/detail.aspx" TargetMode="External"/><Relationship Id="rId1009" Type="http://schemas.openxmlformats.org/officeDocument/2006/relationships/hyperlink" Target="https://wildberries.ru/catalog/247657163/detail.aspx" TargetMode="External"/><Relationship Id="rId62" Type="http://schemas.openxmlformats.org/officeDocument/2006/relationships/hyperlink" Target="https://ozon.ru/t/26KZnyq" TargetMode="External"/><Relationship Id="rId365" Type="http://schemas.openxmlformats.org/officeDocument/2006/relationships/hyperlink" Target="https://ozon.ru/t/P4Yeo1V" TargetMode="External"/><Relationship Id="rId572" Type="http://schemas.openxmlformats.org/officeDocument/2006/relationships/hyperlink" Target="https://www.wildberries.ru/catalog/8403992/detail.aspx" TargetMode="External"/><Relationship Id="rId1216" Type="http://schemas.openxmlformats.org/officeDocument/2006/relationships/hyperlink" Target="https://ozon.ru/t/N64zgO" TargetMode="External"/><Relationship Id="rId225" Type="http://schemas.openxmlformats.org/officeDocument/2006/relationships/hyperlink" Target="https://www.wildberries.ru/catalog/156241225/detail.aspx?targetUrl=SN" TargetMode="External"/><Relationship Id="rId432" Type="http://schemas.openxmlformats.org/officeDocument/2006/relationships/hyperlink" Target="https://wildberries.ru/catalog/191163171/detail.aspx" TargetMode="External"/><Relationship Id="rId877" Type="http://schemas.openxmlformats.org/officeDocument/2006/relationships/hyperlink" Target="https://wildberries.ru/catalog/9448035/detail.aspx" TargetMode="External"/><Relationship Id="rId1062" Type="http://schemas.openxmlformats.org/officeDocument/2006/relationships/hyperlink" Target="https://ozon.ru/t/on5K22g" TargetMode="External"/><Relationship Id="rId737" Type="http://schemas.openxmlformats.org/officeDocument/2006/relationships/hyperlink" Target="https://www.wildberries.ru/catalog/255342379/detail.aspx?size=398059271" TargetMode="External"/><Relationship Id="rId944" Type="http://schemas.openxmlformats.org/officeDocument/2006/relationships/hyperlink" Target="https://www.wildberries.ru/catalog/162538023/detail.aspx?size=270115480" TargetMode="External"/><Relationship Id="rId1367" Type="http://schemas.openxmlformats.org/officeDocument/2006/relationships/hyperlink" Target="https://wildberries.ru/catalog/302905756/detail.aspx" TargetMode="External"/><Relationship Id="rId73" Type="http://schemas.openxmlformats.org/officeDocument/2006/relationships/hyperlink" Target="https://www.ozon.ru/product/instrumenty-instrumenty-dlya-remonta-i-stroitelstva-svarka-1281921709/" TargetMode="External"/><Relationship Id="rId169" Type="http://schemas.openxmlformats.org/officeDocument/2006/relationships/hyperlink" Target="https://www.wildberries.ru/catalog/100076915/detail.aspx?targetUrl=SN" TargetMode="External"/><Relationship Id="rId376" Type="http://schemas.openxmlformats.org/officeDocument/2006/relationships/hyperlink" Target="https://wildberries.ru/catalog/198887056/detail.aspx" TargetMode="External"/><Relationship Id="rId583" Type="http://schemas.openxmlformats.org/officeDocument/2006/relationships/hyperlink" Target="https://www.wildberries.ru/catalog/170583388/detail.aspx" TargetMode="External"/><Relationship Id="rId790" Type="http://schemas.openxmlformats.org/officeDocument/2006/relationships/hyperlink" Target="https://www.wildberries.ru/catalog/155423633/detail.aspx?targetUrl=SN" TargetMode="External"/><Relationship Id="rId804" Type="http://schemas.openxmlformats.org/officeDocument/2006/relationships/hyperlink" Target="https://ozon.ru/t/3zM3qz" TargetMode="External"/><Relationship Id="rId1227" Type="http://schemas.openxmlformats.org/officeDocument/2006/relationships/hyperlink" Target="https://wildberries.ru/catalog/137659229/detail.aspx" TargetMode="External"/><Relationship Id="rId4" Type="http://schemas.openxmlformats.org/officeDocument/2006/relationships/hyperlink" Target="https://www.wildberries.ru/catalog/48995102/detail.aspx" TargetMode="External"/><Relationship Id="rId236" Type="http://schemas.openxmlformats.org/officeDocument/2006/relationships/hyperlink" Target="https://ozon.ru/t/MBRA08" TargetMode="External"/><Relationship Id="rId443" Type="http://schemas.openxmlformats.org/officeDocument/2006/relationships/hyperlink" Target="https://www.wildberries.ru/catalog/137772319/detail.aspx" TargetMode="External"/><Relationship Id="rId650" Type="http://schemas.openxmlformats.org/officeDocument/2006/relationships/hyperlink" Target="https://ozon.ru/t/g0KwAy8" TargetMode="External"/><Relationship Id="rId888" Type="http://schemas.openxmlformats.org/officeDocument/2006/relationships/hyperlink" Target="https://ozon.ru/t/JMPazza" TargetMode="External"/><Relationship Id="rId1073" Type="http://schemas.openxmlformats.org/officeDocument/2006/relationships/hyperlink" Target="https://www.wildberries.ru/catalog/175542861/detail.aspx" TargetMode="External"/><Relationship Id="rId1280" Type="http://schemas.openxmlformats.org/officeDocument/2006/relationships/hyperlink" Target="https://www.wildberries.ru/catalog/223804718/detail.aspx?targetUrl=SN" TargetMode="External"/><Relationship Id="rId303" Type="http://schemas.openxmlformats.org/officeDocument/2006/relationships/hyperlink" Target="https://ozon.ru/t/ZXr6dB" TargetMode="External"/><Relationship Id="rId748" Type="http://schemas.openxmlformats.org/officeDocument/2006/relationships/hyperlink" Target="https://ozon.ru/t/5j99VrR" TargetMode="External"/><Relationship Id="rId955" Type="http://schemas.openxmlformats.org/officeDocument/2006/relationships/hyperlink" Target="https://ozon.ru/t/3my3pBq" TargetMode="External"/><Relationship Id="rId1140" Type="http://schemas.openxmlformats.org/officeDocument/2006/relationships/hyperlink" Target="https://wildberries.ru/catalog/196868746/detail.aspx" TargetMode="External"/><Relationship Id="rId1378" Type="http://schemas.openxmlformats.org/officeDocument/2006/relationships/hyperlink" Target="https://wildberries.ru/catalog/42119854/detail.aspx" TargetMode="External"/><Relationship Id="rId84" Type="http://schemas.openxmlformats.org/officeDocument/2006/relationships/hyperlink" Target="https://ozon.ru/t/5j97gyN" TargetMode="External"/><Relationship Id="rId387" Type="http://schemas.openxmlformats.org/officeDocument/2006/relationships/hyperlink" Target="https://ozon.ru/t/e2DGR7N" TargetMode="External"/><Relationship Id="rId510" Type="http://schemas.openxmlformats.org/officeDocument/2006/relationships/hyperlink" Target="https://ozon.ru/t/3eD54Rz" TargetMode="External"/><Relationship Id="rId594" Type="http://schemas.openxmlformats.org/officeDocument/2006/relationships/hyperlink" Target="https://www.wildberries.ru/catalog/169390694/detail.aspx/" TargetMode="External"/><Relationship Id="rId608" Type="http://schemas.openxmlformats.org/officeDocument/2006/relationships/hyperlink" Target="https://www.wildberries.ru/catalog/15296787/detail.aspx" TargetMode="External"/><Relationship Id="rId815" Type="http://schemas.openxmlformats.org/officeDocument/2006/relationships/hyperlink" Target="https://wildberries.ru/catalog/225461567/detail.aspx" TargetMode="External"/><Relationship Id="rId1238" Type="http://schemas.openxmlformats.org/officeDocument/2006/relationships/hyperlink" Target="https://ozon.ru/t/eVeaAp" TargetMode="External"/><Relationship Id="rId247" Type="http://schemas.openxmlformats.org/officeDocument/2006/relationships/hyperlink" Target="https://ozon.ru/t/5LwaNR" TargetMode="External"/><Relationship Id="rId899" Type="http://schemas.openxmlformats.org/officeDocument/2006/relationships/hyperlink" Target="https://ozon.ru/t/0P57b73" TargetMode="External"/><Relationship Id="rId1000" Type="http://schemas.openxmlformats.org/officeDocument/2006/relationships/hyperlink" Target="https://www.wildberries.ru/catalog/173623939/detail.aspx" TargetMode="External"/><Relationship Id="rId1084" Type="http://schemas.openxmlformats.org/officeDocument/2006/relationships/hyperlink" Target="https://wildberries.ru/catalog/254559653/detail.aspx" TargetMode="External"/><Relationship Id="rId1305" Type="http://schemas.openxmlformats.org/officeDocument/2006/relationships/hyperlink" Target="https://sl.aliexpress.ru/p?key=cvRsGes" TargetMode="External"/><Relationship Id="rId107" Type="http://schemas.openxmlformats.org/officeDocument/2006/relationships/hyperlink" Target="https://www.wildberries.ru/catalog/34129545/detail.aspx" TargetMode="External"/><Relationship Id="rId454" Type="http://schemas.openxmlformats.org/officeDocument/2006/relationships/hyperlink" Target="https://wildberries.ru/catalog/164221352/detail.aspx" TargetMode="External"/><Relationship Id="rId661" Type="http://schemas.openxmlformats.org/officeDocument/2006/relationships/hyperlink" Target="https://wildberries.ru/catalog/91569575/detail.aspx" TargetMode="External"/><Relationship Id="rId759" Type="http://schemas.openxmlformats.org/officeDocument/2006/relationships/hyperlink" Target="https://www.wildberries.ru/catalog/234116001/detail.aspx?size=368980659" TargetMode="External"/><Relationship Id="rId966" Type="http://schemas.openxmlformats.org/officeDocument/2006/relationships/hyperlink" Target="https://www.wildberries.ru/catalog/141947113/detail.aspx" TargetMode="External"/><Relationship Id="rId1291" Type="http://schemas.openxmlformats.org/officeDocument/2006/relationships/hyperlink" Target="https://wildberries.ru/catalog/182627497/detail.aspx" TargetMode="External"/><Relationship Id="rId11" Type="http://schemas.openxmlformats.org/officeDocument/2006/relationships/hyperlink" Target="https://www.ozon.ru/product/kora-iz-sosny-pinii-fraktsiya-12-20mm-5litra-plyus-udobrenie-v-podarok-1385554730/?from=share_android&amp;utm_campaign=productpage_link&amp;utm_medium=share_button&amp;utm_source=smm" TargetMode="External"/><Relationship Id="rId314" Type="http://schemas.openxmlformats.org/officeDocument/2006/relationships/hyperlink" Target="https://ozon.ru/t/7QgayV" TargetMode="External"/><Relationship Id="rId398" Type="http://schemas.openxmlformats.org/officeDocument/2006/relationships/hyperlink" Target="https://wildberries.ru/catalog/219087401/detail.aspx" TargetMode="External"/><Relationship Id="rId521" Type="http://schemas.openxmlformats.org/officeDocument/2006/relationships/hyperlink" Target="https://ozon.ru/t/DJAl0Aq" TargetMode="External"/><Relationship Id="rId619" Type="http://schemas.openxmlformats.org/officeDocument/2006/relationships/hyperlink" Target="https://www.wildberries.ru/catalog/171224849/detail.aspx?size=284214493" TargetMode="External"/><Relationship Id="rId1151" Type="http://schemas.openxmlformats.org/officeDocument/2006/relationships/hyperlink" Target="https://wildberries.ru/catalog/184518997/detail.aspx" TargetMode="External"/><Relationship Id="rId1249" Type="http://schemas.openxmlformats.org/officeDocument/2006/relationships/hyperlink" Target="https://ozon.ru/t/54KAnxE" TargetMode="External"/><Relationship Id="rId95" Type="http://schemas.openxmlformats.org/officeDocument/2006/relationships/hyperlink" Target="https://ozon.ru/t/RZK548e" TargetMode="External"/><Relationship Id="rId160" Type="http://schemas.openxmlformats.org/officeDocument/2006/relationships/hyperlink" Target="https://ozon.ru/t/DlVZLJr" TargetMode="External"/><Relationship Id="rId826" Type="http://schemas.openxmlformats.org/officeDocument/2006/relationships/hyperlink" Target="https://ozon.ru/t/elDdnY1" TargetMode="External"/><Relationship Id="rId1011" Type="http://schemas.openxmlformats.org/officeDocument/2006/relationships/hyperlink" Target="https://www.wildberries.ru/catalog/37051387/detail.aspx?size=76691359" TargetMode="External"/><Relationship Id="rId1109" Type="http://schemas.openxmlformats.org/officeDocument/2006/relationships/hyperlink" Target="https://www.wildberries.ru/catalog/228707373/detail.aspx" TargetMode="External"/><Relationship Id="rId258" Type="http://schemas.openxmlformats.org/officeDocument/2006/relationships/hyperlink" Target="https://ozon.ru/t/8L7MyG" TargetMode="External"/><Relationship Id="rId465" Type="http://schemas.openxmlformats.org/officeDocument/2006/relationships/hyperlink" Target="https://www.wildberries.ru/catalog/219928682/detail.aspx?targetUrl=SN" TargetMode="External"/><Relationship Id="rId672" Type="http://schemas.openxmlformats.org/officeDocument/2006/relationships/hyperlink" Target="https://ozon.ru/t/X84wQeR" TargetMode="External"/><Relationship Id="rId1095" Type="http://schemas.openxmlformats.org/officeDocument/2006/relationships/hyperlink" Target="https://wildberries.ru/catalog/17163175/detail.aspx" TargetMode="External"/><Relationship Id="rId1316" Type="http://schemas.openxmlformats.org/officeDocument/2006/relationships/hyperlink" Target="https://zyorna.ru/catalog/item/magnit-s-rozhdestvom-volhvy-i-bogorodica-91254" TargetMode="External"/><Relationship Id="rId22" Type="http://schemas.openxmlformats.org/officeDocument/2006/relationships/hyperlink" Target="https://www.wildberries.ru/catalog/203578983/detail.aspx?targetUrl=SP&amp;size=327859832" TargetMode="External"/><Relationship Id="rId118" Type="http://schemas.openxmlformats.org/officeDocument/2006/relationships/hyperlink" Target="https://www.wildberries.ru/catalog/139248140/detail.aspx?targetUrl=SN" TargetMode="External"/><Relationship Id="rId325" Type="http://schemas.openxmlformats.org/officeDocument/2006/relationships/hyperlink" Target="https://www.wildberries.ru/catalog/215156014/detail.aspx?targetUrl=SN" TargetMode="External"/><Relationship Id="rId532" Type="http://schemas.openxmlformats.org/officeDocument/2006/relationships/hyperlink" Target="https://wildberries.ru/catalog/152178094/detail.aspx" TargetMode="External"/><Relationship Id="rId977" Type="http://schemas.openxmlformats.org/officeDocument/2006/relationships/hyperlink" Target="https://www.wildberries.ru/catalog/96338498/detail.aspx" TargetMode="External"/><Relationship Id="rId1162" Type="http://schemas.openxmlformats.org/officeDocument/2006/relationships/hyperlink" Target="https://www.wildberries.ru/catalog/256359546/detail.aspx" TargetMode="External"/><Relationship Id="rId171" Type="http://schemas.openxmlformats.org/officeDocument/2006/relationships/hyperlink" Target="https://ozon.ru/t/Y4r05Ew" TargetMode="External"/><Relationship Id="rId837" Type="http://schemas.openxmlformats.org/officeDocument/2006/relationships/hyperlink" Target="https://www.wildberries.ru/catalog/223840201/detail.aspx" TargetMode="External"/><Relationship Id="rId1022" Type="http://schemas.openxmlformats.org/officeDocument/2006/relationships/hyperlink" Target="https://wildberries.ru/catalog/246428861/detail.aspx" TargetMode="External"/><Relationship Id="rId269" Type="http://schemas.openxmlformats.org/officeDocument/2006/relationships/hyperlink" Target="https://www.wildberries.ru/catalog/173183107/detail.aspx?targetUrl=SN" TargetMode="External"/><Relationship Id="rId476" Type="http://schemas.openxmlformats.org/officeDocument/2006/relationships/hyperlink" Target="https://ozon.ru/t/3G4rAVA" TargetMode="External"/><Relationship Id="rId683" Type="http://schemas.openxmlformats.org/officeDocument/2006/relationships/hyperlink" Target="https://book24.ru/amp/product/izbrannye-obrabotki-narodnykh-pesen-svetskie-i-dukhovnye-proizvedeniya-dlya-sme-6473299/" TargetMode="External"/><Relationship Id="rId890" Type="http://schemas.openxmlformats.org/officeDocument/2006/relationships/hyperlink" Target="https://ozon.ru/t/l1nv6mN" TargetMode="External"/><Relationship Id="rId904" Type="http://schemas.openxmlformats.org/officeDocument/2006/relationships/hyperlink" Target="https://www.wildberries.ru/catalog/266527569/detail.aspx" TargetMode="External"/><Relationship Id="rId1327" Type="http://schemas.openxmlformats.org/officeDocument/2006/relationships/hyperlink" Target="https://ozon.ru/t/Y0GXewl" TargetMode="External"/><Relationship Id="rId33" Type="http://schemas.openxmlformats.org/officeDocument/2006/relationships/hyperlink" Target="https://ozon.ru/t/jE1w7rd" TargetMode="External"/><Relationship Id="rId129" Type="http://schemas.openxmlformats.org/officeDocument/2006/relationships/hyperlink" Target="https://ozon.ru/t/PgK7L72" TargetMode="External"/><Relationship Id="rId336" Type="http://schemas.openxmlformats.org/officeDocument/2006/relationships/hyperlink" Target="https://www.wildberries.ru/catalog/26127702/detail.aspx?targetUrl=SN" TargetMode="External"/><Relationship Id="rId543" Type="http://schemas.openxmlformats.org/officeDocument/2006/relationships/hyperlink" Target="https://wildberries.ru/catalog/177398612/detail.aspx" TargetMode="External"/><Relationship Id="rId988" Type="http://schemas.openxmlformats.org/officeDocument/2006/relationships/hyperlink" Target="https://ozon.ru/t/Rvy3XNy" TargetMode="External"/><Relationship Id="rId1173" Type="http://schemas.openxmlformats.org/officeDocument/2006/relationships/hyperlink" Target="https://ozon.ru/t/Z10qYpg" TargetMode="External"/><Relationship Id="rId1380" Type="http://schemas.openxmlformats.org/officeDocument/2006/relationships/hyperlink" Target="https://wildberries.ru/catalog/197999014/detail.aspx" TargetMode="External"/><Relationship Id="rId182" Type="http://schemas.openxmlformats.org/officeDocument/2006/relationships/hyperlink" Target="https://www.wildberries.ru/catalog/7623504/detail.aspx?targetUrl=SN" TargetMode="External"/><Relationship Id="rId403" Type="http://schemas.openxmlformats.org/officeDocument/2006/relationships/hyperlink" Target="https://www.wildberries.ru/catalog/197222278/detail.aspx?targetUrl=SN" TargetMode="External"/><Relationship Id="rId750" Type="http://schemas.openxmlformats.org/officeDocument/2006/relationships/hyperlink" Target="https://ozon.ru/t/NPGdMZJ" TargetMode="External"/><Relationship Id="rId848" Type="http://schemas.openxmlformats.org/officeDocument/2006/relationships/hyperlink" Target="https://wildberries.ru/catalog/248170908/detail.aspx" TargetMode="External"/><Relationship Id="rId1033" Type="http://schemas.openxmlformats.org/officeDocument/2006/relationships/hyperlink" Target="https://www.wildberries.ru/catalog/211542057/detail.aspx?size=338323104" TargetMode="External"/><Relationship Id="rId487" Type="http://schemas.openxmlformats.org/officeDocument/2006/relationships/hyperlink" Target="https://www.wildberries.ru/catalog/211319632/detail.aspx?size=337905444" TargetMode="External"/><Relationship Id="rId610" Type="http://schemas.openxmlformats.org/officeDocument/2006/relationships/hyperlink" Target="https://wildberries.ru/catalog/218735885/detail.aspx" TargetMode="External"/><Relationship Id="rId694" Type="http://schemas.openxmlformats.org/officeDocument/2006/relationships/hyperlink" Target="https://www.wildberries.ru/catalog/155823851/detail.aspx" TargetMode="External"/><Relationship Id="rId708" Type="http://schemas.openxmlformats.org/officeDocument/2006/relationships/hyperlink" Target="https://ozon.ru/t/YK6d2yy" TargetMode="External"/><Relationship Id="rId915" Type="http://schemas.openxmlformats.org/officeDocument/2006/relationships/hyperlink" Target="https://www.wildberries.ru/catalog/163585392/detail.aspx?size=272656225" TargetMode="External"/><Relationship Id="rId1240" Type="http://schemas.openxmlformats.org/officeDocument/2006/relationships/hyperlink" Target="https://ozon.ru/t/ZaxyB8Q" TargetMode="External"/><Relationship Id="rId1338" Type="http://schemas.openxmlformats.org/officeDocument/2006/relationships/hyperlink" Target="https://wildberries.ru/catalog/253841721/detail.aspx" TargetMode="External"/><Relationship Id="rId347" Type="http://schemas.openxmlformats.org/officeDocument/2006/relationships/hyperlink" Target="https://www.wildberries.ru/catalog/157567978/detail.aspx?targetUrl=SN" TargetMode="External"/><Relationship Id="rId999" Type="http://schemas.openxmlformats.org/officeDocument/2006/relationships/hyperlink" Target="https://www.wildberries.ru/catalog/209050665/detail.aspx" TargetMode="External"/><Relationship Id="rId1100" Type="http://schemas.openxmlformats.org/officeDocument/2006/relationships/hyperlink" Target="https://www.wildberries.ru/catalog/261960310/detail.aspx?size=406966044" TargetMode="External"/><Relationship Id="rId1184" Type="http://schemas.openxmlformats.org/officeDocument/2006/relationships/hyperlink" Target="https://www.wildberries.ru/catalog/246923953/detail.aspx" TargetMode="External"/><Relationship Id="rId44" Type="http://schemas.openxmlformats.org/officeDocument/2006/relationships/hyperlink" Target="https://www.wildberries.ru/catalog/110382765/detail.aspx?targetUrl=SN" TargetMode="External"/><Relationship Id="rId554" Type="http://schemas.openxmlformats.org/officeDocument/2006/relationships/hyperlink" Target="https://www.wildberries.ru/catalog/91532603/detail.aspx" TargetMode="External"/><Relationship Id="rId761" Type="http://schemas.openxmlformats.org/officeDocument/2006/relationships/hyperlink" Target="https://wildberries.ru/catalog/232069641/detail.aspx" TargetMode="External"/><Relationship Id="rId859" Type="http://schemas.openxmlformats.org/officeDocument/2006/relationships/hyperlink" Target="https://www.wildberries.ru/catalog/251115426/detail.aspx" TargetMode="External"/><Relationship Id="rId193" Type="http://schemas.openxmlformats.org/officeDocument/2006/relationships/hyperlink" Target="https://ozon.ru/t/9j1YJd7" TargetMode="External"/><Relationship Id="rId207" Type="http://schemas.openxmlformats.org/officeDocument/2006/relationships/hyperlink" Target="https://www.wildberries.ru/catalog/111491366/detail.aspx?targetUrl=SN" TargetMode="External"/><Relationship Id="rId414" Type="http://schemas.openxmlformats.org/officeDocument/2006/relationships/hyperlink" Target="https://www.wildberries.ru/catalog/223669540/detail.aspx" TargetMode="External"/><Relationship Id="rId498" Type="http://schemas.openxmlformats.org/officeDocument/2006/relationships/hyperlink" Target="https://wildberries.ru/catalog/210949206/detail.aspx" TargetMode="External"/><Relationship Id="rId621" Type="http://schemas.openxmlformats.org/officeDocument/2006/relationships/hyperlink" Target="https://market.yandex.ru/cc/OOe3ytC" TargetMode="External"/><Relationship Id="rId1044" Type="http://schemas.openxmlformats.org/officeDocument/2006/relationships/hyperlink" Target="https://www.wildberries.ru/catalog/267598474/detail.aspx" TargetMode="External"/><Relationship Id="rId1251" Type="http://schemas.openxmlformats.org/officeDocument/2006/relationships/hyperlink" Target="https://wildberries.ru/catalog/27309923/detail.aspx" TargetMode="External"/><Relationship Id="rId1349" Type="http://schemas.openxmlformats.org/officeDocument/2006/relationships/hyperlink" Target="https://wildberries.ru/catalog/277501369/detail.aspx" TargetMode="External"/><Relationship Id="rId260" Type="http://schemas.openxmlformats.org/officeDocument/2006/relationships/hyperlink" Target="https://www.wildberries.ru/catalog/148526880/detail.aspx?targetUrl=SN" TargetMode="External"/><Relationship Id="rId719" Type="http://schemas.openxmlformats.org/officeDocument/2006/relationships/hyperlink" Target="https://www.wildberries.ru/catalog/174848727/detail.aspx?targetUrl=SG" TargetMode="External"/><Relationship Id="rId926" Type="http://schemas.openxmlformats.org/officeDocument/2006/relationships/hyperlink" Target="https://wildberries.ru/catalog/217266463/detail.aspx" TargetMode="External"/><Relationship Id="rId1111" Type="http://schemas.openxmlformats.org/officeDocument/2006/relationships/hyperlink" Target="https://wildberries.ru/catalog/31488505/detail.aspx" TargetMode="External"/><Relationship Id="rId55" Type="http://schemas.openxmlformats.org/officeDocument/2006/relationships/hyperlink" Target="https://ozon.ru/t/pa40o1b" TargetMode="External"/><Relationship Id="rId120" Type="http://schemas.openxmlformats.org/officeDocument/2006/relationships/hyperlink" Target="https://www.wildberries.ru/catalog/64159988/detail.aspx?targetUrl=SN" TargetMode="External"/><Relationship Id="rId358" Type="http://schemas.openxmlformats.org/officeDocument/2006/relationships/hyperlink" Target="https://ozon.ru/t/g908VLd" TargetMode="External"/><Relationship Id="rId565" Type="http://schemas.openxmlformats.org/officeDocument/2006/relationships/hyperlink" Target="https://www.wildberries.ru/catalog/210004411/detail.aspx" TargetMode="External"/><Relationship Id="rId772" Type="http://schemas.openxmlformats.org/officeDocument/2006/relationships/hyperlink" Target="https://www.labirint.ru/books/900707/" TargetMode="External"/><Relationship Id="rId1195" Type="http://schemas.openxmlformats.org/officeDocument/2006/relationships/hyperlink" Target="https://wildberries.ru/catalog/233718406/detail.aspx" TargetMode="External"/><Relationship Id="rId1209" Type="http://schemas.openxmlformats.org/officeDocument/2006/relationships/hyperlink" Target="https://www.wildberries.ru/catalog/263805837/detail.aspx?size=409545687" TargetMode="External"/><Relationship Id="rId218" Type="http://schemas.openxmlformats.org/officeDocument/2006/relationships/hyperlink" Target="https://ozon.ru/t/ElQGprj" TargetMode="External"/><Relationship Id="rId425" Type="http://schemas.openxmlformats.org/officeDocument/2006/relationships/hyperlink" Target="https://ozon.ru/t/BzwQ4oQ" TargetMode="External"/><Relationship Id="rId632" Type="http://schemas.openxmlformats.org/officeDocument/2006/relationships/hyperlink" Target="https://wildberries.ru/catalog/146650984/detail.aspx" TargetMode="External"/><Relationship Id="rId1055" Type="http://schemas.openxmlformats.org/officeDocument/2006/relationships/hyperlink" Target="https://ozon.ru/t/7b6PVgQ" TargetMode="External"/><Relationship Id="rId1262" Type="http://schemas.openxmlformats.org/officeDocument/2006/relationships/hyperlink" Target="https://ozon.ru/t/m6bnmKg" TargetMode="External"/><Relationship Id="rId271" Type="http://schemas.openxmlformats.org/officeDocument/2006/relationships/hyperlink" Target="https://ozon.ru/t/5ZYjPD" TargetMode="External"/><Relationship Id="rId937" Type="http://schemas.openxmlformats.org/officeDocument/2006/relationships/hyperlink" Target="https://www.wildberries.ru/catalog/235902976/detail.aspx?targetUrl=SN" TargetMode="External"/><Relationship Id="rId1122" Type="http://schemas.openxmlformats.org/officeDocument/2006/relationships/hyperlink" Target="https://ozon.ru/t/nZplgGl" TargetMode="External"/><Relationship Id="rId66" Type="http://schemas.openxmlformats.org/officeDocument/2006/relationships/hyperlink" Target="https://www.wildberries.ru/catalog/165424377/detail.aspx?size=275452112" TargetMode="External"/><Relationship Id="rId131" Type="http://schemas.openxmlformats.org/officeDocument/2006/relationships/hyperlink" Target="https://ozon.ru/t/Q2yPkR0" TargetMode="External"/><Relationship Id="rId369" Type="http://schemas.openxmlformats.org/officeDocument/2006/relationships/hyperlink" Target="https://www.wildberries.ru/catalog/208295378/detail.aspx?targetUrl=SN" TargetMode="External"/><Relationship Id="rId576" Type="http://schemas.openxmlformats.org/officeDocument/2006/relationships/hyperlink" Target="https://www.wildberries.ru/catalog/219956785/detail.aspx" TargetMode="External"/><Relationship Id="rId783" Type="http://schemas.openxmlformats.org/officeDocument/2006/relationships/hyperlink" Target="https://ozon.ru/t/e7Vn5qK" TargetMode="External"/><Relationship Id="rId990" Type="http://schemas.openxmlformats.org/officeDocument/2006/relationships/hyperlink" Target="https://ozon.ru/t/8aE4bQ7" TargetMode="External"/><Relationship Id="rId229" Type="http://schemas.openxmlformats.org/officeDocument/2006/relationships/hyperlink" Target="https://www.wildberries.ru/catalog/189569262/detail.aspx?targetUrl=SN" TargetMode="External"/><Relationship Id="rId436" Type="http://schemas.openxmlformats.org/officeDocument/2006/relationships/hyperlink" Target="https://www.wildberries.ru/catalog/66804962/detail.aspx?targetUrl=SN" TargetMode="External"/><Relationship Id="rId643" Type="http://schemas.openxmlformats.org/officeDocument/2006/relationships/hyperlink" Target="https://wildberries.ru/catalog/198869762/detail.aspx" TargetMode="External"/><Relationship Id="rId1066" Type="http://schemas.openxmlformats.org/officeDocument/2006/relationships/hyperlink" Target="https://ozon.ru/t/bRxW1Go" TargetMode="External"/><Relationship Id="rId1273" Type="http://schemas.openxmlformats.org/officeDocument/2006/relationships/hyperlink" Target="https://ozon.ru/t/LjO7QLx" TargetMode="External"/><Relationship Id="rId850" Type="http://schemas.openxmlformats.org/officeDocument/2006/relationships/hyperlink" Target="https://wildberries.ru/catalog/38295308/detail.aspx" TargetMode="External"/><Relationship Id="rId948" Type="http://schemas.openxmlformats.org/officeDocument/2006/relationships/hyperlink" Target="https://ozon.ru/t/jb6KMwL" TargetMode="External"/><Relationship Id="rId1133" Type="http://schemas.openxmlformats.org/officeDocument/2006/relationships/hyperlink" Target="https://www.wildberries.ru/catalog/282700724/detail.aspx" TargetMode="External"/><Relationship Id="rId77" Type="http://schemas.openxmlformats.org/officeDocument/2006/relationships/hyperlink" Target="https://www.wildberries.ru/catalog/201763039/detail.aspx?size=325692710" TargetMode="External"/><Relationship Id="rId282" Type="http://schemas.openxmlformats.org/officeDocument/2006/relationships/hyperlink" Target="https://www.wildberries.ru/catalog/48026306/detail.aspx?targetUrl=SN" TargetMode="External"/><Relationship Id="rId503" Type="http://schemas.openxmlformats.org/officeDocument/2006/relationships/hyperlink" Target="https://wildberries.ru/catalog/149238532/detail.aspx" TargetMode="External"/><Relationship Id="rId587" Type="http://schemas.openxmlformats.org/officeDocument/2006/relationships/hyperlink" Target="https://ozon.ru/t/MRVz4dG" TargetMode="External"/><Relationship Id="rId710" Type="http://schemas.openxmlformats.org/officeDocument/2006/relationships/hyperlink" Target="https://www.wildberries.ru/catalog/207877077/detail.aspx?targetUrl=MS&amp;size=333331503" TargetMode="External"/><Relationship Id="rId808" Type="http://schemas.openxmlformats.org/officeDocument/2006/relationships/hyperlink" Target="https://wildberries.ru/catalog/174005737/detail.aspx" TargetMode="External"/><Relationship Id="rId1340" Type="http://schemas.openxmlformats.org/officeDocument/2006/relationships/hyperlink" Target="https://www.wildberries.ru/catalog/228446557/detail.aspx" TargetMode="External"/><Relationship Id="rId8" Type="http://schemas.openxmlformats.org/officeDocument/2006/relationships/hyperlink" Target="https://www.wildberries.ru/catalog/196317275/detail.aspx" TargetMode="External"/><Relationship Id="rId142" Type="http://schemas.openxmlformats.org/officeDocument/2006/relationships/hyperlink" Target="https://ozon.ru/t/9jnKNgk" TargetMode="External"/><Relationship Id="rId447" Type="http://schemas.openxmlformats.org/officeDocument/2006/relationships/hyperlink" Target="https://ozon.ru/t/DDejg94" TargetMode="External"/><Relationship Id="rId794" Type="http://schemas.openxmlformats.org/officeDocument/2006/relationships/hyperlink" Target="https://www.wildberries.ru/catalog/2975442/detail.aspx?targetUrl=SN" TargetMode="External"/><Relationship Id="rId1077" Type="http://schemas.openxmlformats.org/officeDocument/2006/relationships/hyperlink" Target="https://www.avito.ru/sankt-peterburg/kollektsionirovanie/kukly_winx_vinks_3971186162" TargetMode="External"/><Relationship Id="rId1200" Type="http://schemas.openxmlformats.org/officeDocument/2006/relationships/hyperlink" Target="https://wildberries.ru/catalog/244557235/detail.aspx" TargetMode="External"/><Relationship Id="rId654" Type="http://schemas.openxmlformats.org/officeDocument/2006/relationships/hyperlink" Target="https://ozon.ru/t/4GggNal" TargetMode="External"/><Relationship Id="rId861" Type="http://schemas.openxmlformats.org/officeDocument/2006/relationships/hyperlink" Target="https://www.wildberries.ru/catalog/256686110/detail.aspx" TargetMode="External"/><Relationship Id="rId959" Type="http://schemas.openxmlformats.org/officeDocument/2006/relationships/hyperlink" Target="https://wildberries.ru/catalog/172543430/detail.aspx" TargetMode="External"/><Relationship Id="rId1284" Type="http://schemas.openxmlformats.org/officeDocument/2006/relationships/hyperlink" Target="https://ozon.ru/t/m17QMX1" TargetMode="External"/><Relationship Id="rId293" Type="http://schemas.openxmlformats.org/officeDocument/2006/relationships/hyperlink" Target="https://ozon.ru/t/2XzyjM" TargetMode="External"/><Relationship Id="rId307" Type="http://schemas.openxmlformats.org/officeDocument/2006/relationships/hyperlink" Target="https://ozon.ru/t/7zRa9d" TargetMode="External"/><Relationship Id="rId514" Type="http://schemas.openxmlformats.org/officeDocument/2006/relationships/hyperlink" Target="https://wildberries.ru/catalog/190034435/detail.aspx" TargetMode="External"/><Relationship Id="rId721" Type="http://schemas.openxmlformats.org/officeDocument/2006/relationships/hyperlink" Target="https://wildberries.ru/catalog/166693328/detail.aspx" TargetMode="External"/><Relationship Id="rId1144" Type="http://schemas.openxmlformats.org/officeDocument/2006/relationships/hyperlink" Target="https://www.wildberries.ru/catalog/159427792/detail.aspx?size=265188043" TargetMode="External"/><Relationship Id="rId1351" Type="http://schemas.openxmlformats.org/officeDocument/2006/relationships/hyperlink" Target="https://wildberries.ru/catalog/236097981/detail.aspx" TargetMode="External"/><Relationship Id="rId88" Type="http://schemas.openxmlformats.org/officeDocument/2006/relationships/hyperlink" Target="https://www.wildberries.ru/catalog/177853454/detail.aspx" TargetMode="External"/><Relationship Id="rId153" Type="http://schemas.openxmlformats.org/officeDocument/2006/relationships/hyperlink" Target="https://www.wildberries.ru/catalog/18895570/detail.aspx?targetUrl=SN" TargetMode="External"/><Relationship Id="rId360" Type="http://schemas.openxmlformats.org/officeDocument/2006/relationships/hyperlink" Target="https://ozon.ru/t/jrNlprY" TargetMode="External"/><Relationship Id="rId598" Type="http://schemas.openxmlformats.org/officeDocument/2006/relationships/hyperlink" Target="https://www.wildberries.ru/catalog/237595741/detail.aspx" TargetMode="External"/><Relationship Id="rId819" Type="http://schemas.openxmlformats.org/officeDocument/2006/relationships/hyperlink" Target="https://wildberries.ru/catalog/99786198/detail.aspx" TargetMode="External"/><Relationship Id="rId1004" Type="http://schemas.openxmlformats.org/officeDocument/2006/relationships/hyperlink" Target="https://ozon.ru/t/XD090jY" TargetMode="External"/><Relationship Id="rId1211" Type="http://schemas.openxmlformats.org/officeDocument/2006/relationships/hyperlink" Target="https://www.wildberries.ru/catalog/218223659/detail.aspx?size=347452990" TargetMode="External"/><Relationship Id="rId220" Type="http://schemas.openxmlformats.org/officeDocument/2006/relationships/hyperlink" Target="https://ozon.ru/t/39JrynQ" TargetMode="External"/><Relationship Id="rId458" Type="http://schemas.openxmlformats.org/officeDocument/2006/relationships/hyperlink" Target="https://wildberries.ru/catalog/232048130/detail.aspx" TargetMode="External"/><Relationship Id="rId665" Type="http://schemas.openxmlformats.org/officeDocument/2006/relationships/hyperlink" Target="https://www.wildberries.ru/catalog/196029449/detail.aspx?size=318310695" TargetMode="External"/><Relationship Id="rId872" Type="http://schemas.openxmlformats.org/officeDocument/2006/relationships/hyperlink" Target="https://wildberries.ru/catalog/167602849/detail.aspx" TargetMode="External"/><Relationship Id="rId1088" Type="http://schemas.openxmlformats.org/officeDocument/2006/relationships/hyperlink" Target="https://ozon.ru/t/069ogka" TargetMode="External"/><Relationship Id="rId1295" Type="http://schemas.openxmlformats.org/officeDocument/2006/relationships/hyperlink" Target="https://wildberries.ru/catalog/273175690/detail.aspx" TargetMode="External"/><Relationship Id="rId1309" Type="http://schemas.openxmlformats.org/officeDocument/2006/relationships/hyperlink" Target="https://simvolik.ru/catalog/suveniry-podarki/rozhdestvo/sbornaya-model-s-podsvetkoy-angel-nad-khramom/" TargetMode="External"/><Relationship Id="rId15" Type="http://schemas.openxmlformats.org/officeDocument/2006/relationships/hyperlink" Target="https://www.ozon.ru/product/botanica-gorshok-dlya-tsvetov-9-sm-h-12-5-sm-h-12-5-sm-0-7-l-3-sht-1066200126/?from=share_android&amp;utm_campaign=productpage_link&amp;utm_medium=share_button&amp;utm_source=smm" TargetMode="External"/><Relationship Id="rId318" Type="http://schemas.openxmlformats.org/officeDocument/2006/relationships/hyperlink" Target="https://www.detmir.ru/product/index/id/6335844/?variant_id=90743886" TargetMode="External"/><Relationship Id="rId525" Type="http://schemas.openxmlformats.org/officeDocument/2006/relationships/hyperlink" Target="https://www.ozon.ru/product/good-day-vneshniy-akkumulyator-powerbank-microusb-usb-usb-type-c-lightning-120000-mach-chernyy-1182972848/?advert=yDTRgWx5vAUz4OfpTN-TPHeA7IggvBRhLxs2P6XBRtoTdqdAJ7VJbSDXpc1nGfj1Rmb-cfsBfqCc8pduAwvdI0JmTSP5TTGU7OIyZn5sXOFwgF91ybgzdHEdjRCNEJqhLCWoBU-AijZWb_eq2MUxQ_6UyMW3II1bxC0lIx0gf8-kYFAkROCgQGwgVIpo87LuyJLqdErUIXI642dQOddFosW0tOlDesI3ZIvIiYssGr440OG4pozEYtQ8DVJ1x-wPL-oT8qRjplWUOfBtQ9yqUxbcga-mx9aQZI4XBCclZ4MAqu2umJRr5ceypkRM9Zcny5JR0Y0rN0DVusAWAkcfsQ2eod1q450&amp;avtc=1&amp;avte=2&amp;avts=1720373026&amp;keywords=%D0%BF%D0%BE%D0%B2%D0%B5%D1%80%D0%B1%D0%B0%D0%BD%D0%BA+120000mah" TargetMode="External"/><Relationship Id="rId732" Type="http://schemas.openxmlformats.org/officeDocument/2006/relationships/hyperlink" Target="https://www.wildberries.ru/catalog/43225478/detail.aspx?size=86161655" TargetMode="External"/><Relationship Id="rId1155" Type="http://schemas.openxmlformats.org/officeDocument/2006/relationships/hyperlink" Target="https://wildberries.ru/catalog/295584905/detail.aspx" TargetMode="External"/><Relationship Id="rId1362" Type="http://schemas.openxmlformats.org/officeDocument/2006/relationships/hyperlink" Target="https://www.wildberries.ru/catalog/194592942/detail.aspx?size=316570762" TargetMode="External"/><Relationship Id="rId99" Type="http://schemas.openxmlformats.org/officeDocument/2006/relationships/hyperlink" Target="https://ozon.ru/t/KdMLV6K" TargetMode="External"/><Relationship Id="rId164" Type="http://schemas.openxmlformats.org/officeDocument/2006/relationships/hyperlink" Target="https://www.wildberries.ru/catalog/173310943/detail.aspx?targetUrl=SN" TargetMode="External"/><Relationship Id="rId371" Type="http://schemas.openxmlformats.org/officeDocument/2006/relationships/hyperlink" Target="https://ozon.ru/t/a2k79Gp" TargetMode="External"/><Relationship Id="rId1015" Type="http://schemas.openxmlformats.org/officeDocument/2006/relationships/hyperlink" Target="https://wildberries.ru/catalog/271908583/detail.aspx" TargetMode="External"/><Relationship Id="rId1222" Type="http://schemas.openxmlformats.org/officeDocument/2006/relationships/hyperlink" Target="https://ozon.ru/t/G7lWKe" TargetMode="External"/><Relationship Id="rId469" Type="http://schemas.openxmlformats.org/officeDocument/2006/relationships/hyperlink" Target="https://ozon.ru/t/9wJjk8k" TargetMode="External"/><Relationship Id="rId676" Type="http://schemas.openxmlformats.org/officeDocument/2006/relationships/hyperlink" Target="https://ozon.ru/t/yJoJEry" TargetMode="External"/><Relationship Id="rId883" Type="http://schemas.openxmlformats.org/officeDocument/2006/relationships/hyperlink" Target="https://www.wildberries.ru/catalog/48982527/detail.aspx?size=94020713" TargetMode="External"/><Relationship Id="rId1099" Type="http://schemas.openxmlformats.org/officeDocument/2006/relationships/hyperlink" Target="https://wildberries.ru/catalog/78337993/detail.aspx" TargetMode="External"/><Relationship Id="rId26" Type="http://schemas.openxmlformats.org/officeDocument/2006/relationships/hyperlink" Target="https://www.wildberries.ru/catalog/118172914/detail.aspx?size=210302176" TargetMode="External"/><Relationship Id="rId231" Type="http://schemas.openxmlformats.org/officeDocument/2006/relationships/hyperlink" Target="https://www.wildberries.ru/catalog/197840416/detail.aspx?targetUrl=SN" TargetMode="External"/><Relationship Id="rId329" Type="http://schemas.openxmlformats.org/officeDocument/2006/relationships/hyperlink" Target="https://www.wildberries.ru/catalog/227094154/detail.aspx?targetUrl=SN" TargetMode="External"/><Relationship Id="rId536" Type="http://schemas.openxmlformats.org/officeDocument/2006/relationships/hyperlink" Target="https://ozon.ru/t/bekPgZn" TargetMode="External"/><Relationship Id="rId1166" Type="http://schemas.openxmlformats.org/officeDocument/2006/relationships/hyperlink" Target="https://www.wildberries.ru/catalog/230115851/detail.aspx" TargetMode="External"/><Relationship Id="rId1373" Type="http://schemas.openxmlformats.org/officeDocument/2006/relationships/hyperlink" Target="https://www.wildberries.ru/catalog/239198828/detail.aspx?size=376248628" TargetMode="External"/><Relationship Id="rId175" Type="http://schemas.openxmlformats.org/officeDocument/2006/relationships/hyperlink" Target="https://www.wildberries.ru/catalog/205014236/detail.aspx?targetUrl=SN" TargetMode="External"/><Relationship Id="rId743" Type="http://schemas.openxmlformats.org/officeDocument/2006/relationships/hyperlink" Target="https://ozon.ru/t/zqKyMV2" TargetMode="External"/><Relationship Id="rId950" Type="http://schemas.openxmlformats.org/officeDocument/2006/relationships/hyperlink" Target="https://ozon.ru/t/RQ85d06" TargetMode="External"/><Relationship Id="rId1026" Type="http://schemas.openxmlformats.org/officeDocument/2006/relationships/hyperlink" Target="https://www.wildberries.ru/catalog/132146396/detail.aspx?size=227551857" TargetMode="External"/><Relationship Id="rId382" Type="http://schemas.openxmlformats.org/officeDocument/2006/relationships/hyperlink" Target="https://wildberries.ru/catalog/192121651/detail.aspx" TargetMode="External"/><Relationship Id="rId603" Type="http://schemas.openxmlformats.org/officeDocument/2006/relationships/hyperlink" Target="https://ozon.ru/t/5EPb9k4" TargetMode="External"/><Relationship Id="rId687" Type="http://schemas.openxmlformats.org/officeDocument/2006/relationships/hyperlink" Target="https://wildberries.ru/catalog/210960633/detail.aspx" TargetMode="External"/><Relationship Id="rId810" Type="http://schemas.openxmlformats.org/officeDocument/2006/relationships/hyperlink" Target="https://wildberries.ru/catalog/255451633/detail.aspx" TargetMode="External"/><Relationship Id="rId908" Type="http://schemas.openxmlformats.org/officeDocument/2006/relationships/hyperlink" Target="https://www.wildberries.ru/catalog/222128214/detail.aspx" TargetMode="External"/><Relationship Id="rId1233" Type="http://schemas.openxmlformats.org/officeDocument/2006/relationships/hyperlink" Target="https://wildberries.ru/catalog/26950668/detail.aspx" TargetMode="External"/><Relationship Id="rId242" Type="http://schemas.openxmlformats.org/officeDocument/2006/relationships/hyperlink" Target="https://www.wildberries.ru/catalog/169093098/detail.aspx?targetUrl=SN" TargetMode="External"/><Relationship Id="rId894" Type="http://schemas.openxmlformats.org/officeDocument/2006/relationships/hyperlink" Target="https://wildberries.ru/catalog/168888010/detail.aspx" TargetMode="External"/><Relationship Id="rId1177" Type="http://schemas.openxmlformats.org/officeDocument/2006/relationships/hyperlink" Target="https://ozon.ru/t/090bgG0" TargetMode="External"/><Relationship Id="rId1300" Type="http://schemas.openxmlformats.org/officeDocument/2006/relationships/hyperlink" Target="https://www.wildberries.ru/catalog/6966093/detail.aspx?size=49696154" TargetMode="External"/><Relationship Id="rId37" Type="http://schemas.openxmlformats.org/officeDocument/2006/relationships/hyperlink" Target="https://ozon.ru/t/jE85Qww" TargetMode="External"/><Relationship Id="rId102" Type="http://schemas.openxmlformats.org/officeDocument/2006/relationships/hyperlink" Target="https://www.wildberries.ru/catalog/201486818/detail.aspx?targetUrl=SG" TargetMode="External"/><Relationship Id="rId547" Type="http://schemas.openxmlformats.org/officeDocument/2006/relationships/hyperlink" Target="https://www.avito.ru/sergiev_posad/remont_i_stroitelstvo/komplekt_15m_dlya_gidrobureniya_abissinskoy_skvazhiny_3803579298" TargetMode="External"/><Relationship Id="rId754" Type="http://schemas.openxmlformats.org/officeDocument/2006/relationships/hyperlink" Target="https://www.wildberries.ru/catalog/254380558/detail.aspx" TargetMode="External"/><Relationship Id="rId961" Type="http://schemas.openxmlformats.org/officeDocument/2006/relationships/hyperlink" Target="https://wildberries.ru/catalog/42119854/detail.aspx" TargetMode="External"/><Relationship Id="rId1384" Type="http://schemas.openxmlformats.org/officeDocument/2006/relationships/table" Target="../tables/table3.xml"/><Relationship Id="rId90" Type="http://schemas.openxmlformats.org/officeDocument/2006/relationships/hyperlink" Target="https://ozon.ru/t/W4ypYWo" TargetMode="External"/><Relationship Id="rId186" Type="http://schemas.openxmlformats.org/officeDocument/2006/relationships/hyperlink" Target="https://www.wildberries.ru/catalog/39168084/detail.aspx?targetUrl=SN" TargetMode="External"/><Relationship Id="rId393" Type="http://schemas.openxmlformats.org/officeDocument/2006/relationships/hyperlink" Target="https://www.wildberries.ru/catalog/167327671/detail.aspx?targetUrl=SN" TargetMode="External"/><Relationship Id="rId407" Type="http://schemas.openxmlformats.org/officeDocument/2006/relationships/hyperlink" Target="https://www.wildberries.ru/catalog/197780248/detail.aspx?targetUrl=SN" TargetMode="External"/><Relationship Id="rId614" Type="http://schemas.openxmlformats.org/officeDocument/2006/relationships/hyperlink" Target="https://ozon.ru/t/MGQzGdp" TargetMode="External"/><Relationship Id="rId821" Type="http://schemas.openxmlformats.org/officeDocument/2006/relationships/hyperlink" Target="https://ozon.ru/t/60X0vB2" TargetMode="External"/><Relationship Id="rId1037" Type="http://schemas.openxmlformats.org/officeDocument/2006/relationships/hyperlink" Target="https://www.ozon.ru/product/rura-company-organizer-75h60h13-cm-1738684628/" TargetMode="External"/><Relationship Id="rId1244" Type="http://schemas.openxmlformats.org/officeDocument/2006/relationships/hyperlink" Target="https://ozon.ru/t/JGyzRQM" TargetMode="External"/><Relationship Id="rId253" Type="http://schemas.openxmlformats.org/officeDocument/2006/relationships/hyperlink" Target="https://ozon.ru/t/lg312d" TargetMode="External"/><Relationship Id="rId460" Type="http://schemas.openxmlformats.org/officeDocument/2006/relationships/hyperlink" Target="https://wildberries.ru/catalog/210847590/detail.aspx" TargetMode="External"/><Relationship Id="rId698" Type="http://schemas.openxmlformats.org/officeDocument/2006/relationships/hyperlink" Target="https://www.wildberries.ru/catalog/163395850/detail.aspx" TargetMode="External"/><Relationship Id="rId919" Type="http://schemas.openxmlformats.org/officeDocument/2006/relationships/hyperlink" Target="https://wildberries.ru/catalog/232934864/detail.aspx" TargetMode="External"/><Relationship Id="rId1090" Type="http://schemas.openxmlformats.org/officeDocument/2006/relationships/hyperlink" Target="https://wildberries.ru/catalog/188574000/detail.aspx" TargetMode="External"/><Relationship Id="rId1104" Type="http://schemas.openxmlformats.org/officeDocument/2006/relationships/hyperlink" Target="https://ozon.ru/t/xDEYP9D" TargetMode="External"/><Relationship Id="rId1311" Type="http://schemas.openxmlformats.org/officeDocument/2006/relationships/hyperlink" Target="https://simvolik.ru/catalog/suveniry-podarki/magnity/magnit-obemnyy-75kh100-mm-rkh-snegir-/" TargetMode="External"/><Relationship Id="rId48" Type="http://schemas.openxmlformats.org/officeDocument/2006/relationships/hyperlink" Target="https://ozon.ru/t/aoZgDa6" TargetMode="External"/><Relationship Id="rId113" Type="http://schemas.openxmlformats.org/officeDocument/2006/relationships/hyperlink" Target="https://www.wildberries.ru/catalog/172163840/detail.aspx?targetUrl=SN" TargetMode="External"/><Relationship Id="rId320" Type="http://schemas.openxmlformats.org/officeDocument/2006/relationships/hyperlink" Target="https://www.avito.ru/chernyahovsk/odezhda_obuv_aksessuary/krossovki_roliki_4_kolesa_razmer_35_4024157320" TargetMode="External"/><Relationship Id="rId558" Type="http://schemas.openxmlformats.org/officeDocument/2006/relationships/hyperlink" Target="https://ozon.ru/t/be0dY9W" TargetMode="External"/><Relationship Id="rId765" Type="http://schemas.openxmlformats.org/officeDocument/2006/relationships/hyperlink" Target="https://ozon.ru/t/W4b3REJ" TargetMode="External"/><Relationship Id="rId972" Type="http://schemas.openxmlformats.org/officeDocument/2006/relationships/hyperlink" Target="https://wildberries.ru/catalog/11519104/detail.aspx" TargetMode="External"/><Relationship Id="rId1188" Type="http://schemas.openxmlformats.org/officeDocument/2006/relationships/hyperlink" Target="https://wildberries.ru/catalog/198660305/detail.aspx" TargetMode="External"/><Relationship Id="rId197" Type="http://schemas.openxmlformats.org/officeDocument/2006/relationships/hyperlink" Target="https://ozon.ru/t/g8opQkd" TargetMode="External"/><Relationship Id="rId418" Type="http://schemas.openxmlformats.org/officeDocument/2006/relationships/hyperlink" Target="https://www.wildberries.ru/catalog/199624234/detail.aspx?targetUrl=EX" TargetMode="External"/><Relationship Id="rId625" Type="http://schemas.openxmlformats.org/officeDocument/2006/relationships/hyperlink" Target="https://ozon.ru/t/6MMaNMe" TargetMode="External"/><Relationship Id="rId832" Type="http://schemas.openxmlformats.org/officeDocument/2006/relationships/hyperlink" Target="https://www.wildberries.ru/catalog/25532217/detail.aspx" TargetMode="External"/><Relationship Id="rId1048" Type="http://schemas.openxmlformats.org/officeDocument/2006/relationships/hyperlink" Target="https://www.wildberries.ru/catalog/254730539/detail.aspx" TargetMode="External"/><Relationship Id="rId1255" Type="http://schemas.openxmlformats.org/officeDocument/2006/relationships/hyperlink" Target="https://www.wildberries.ru/catalog/168119243/detail.aspx" TargetMode="External"/><Relationship Id="rId264" Type="http://schemas.openxmlformats.org/officeDocument/2006/relationships/hyperlink" Target="https://www.wildberries.ru/catalog/38671169/detail.aspx?targetUrl=SN" TargetMode="External"/><Relationship Id="rId471" Type="http://schemas.openxmlformats.org/officeDocument/2006/relationships/hyperlink" Target="https://ozon.ru/t/a7wo7Np" TargetMode="External"/><Relationship Id="rId1115" Type="http://schemas.openxmlformats.org/officeDocument/2006/relationships/hyperlink" Target="https://ozon.ru/t/NDwB9k2" TargetMode="External"/><Relationship Id="rId1322" Type="http://schemas.openxmlformats.org/officeDocument/2006/relationships/hyperlink" Target="https://www.wildberries.ru/catalog/277142460/detail.aspx" TargetMode="External"/><Relationship Id="rId59" Type="http://schemas.openxmlformats.org/officeDocument/2006/relationships/hyperlink" Target="https://www.wildberries.ru/catalog/114745236/detail.aspx" TargetMode="External"/><Relationship Id="rId124" Type="http://schemas.openxmlformats.org/officeDocument/2006/relationships/hyperlink" Target="https://www.wildberries.ru/catalog/155285481/detail.aspx?size=259266449" TargetMode="External"/><Relationship Id="rId569" Type="http://schemas.openxmlformats.org/officeDocument/2006/relationships/hyperlink" Target="https://www.wildberries.ru/catalog/24674292/detail.aspx" TargetMode="External"/><Relationship Id="rId776" Type="http://schemas.openxmlformats.org/officeDocument/2006/relationships/hyperlink" Target="https://ozon.ru/t/Y4PNnE8" TargetMode="External"/><Relationship Id="rId983" Type="http://schemas.openxmlformats.org/officeDocument/2006/relationships/hyperlink" Target="https://ozon.ru/t/8aoO4Ob" TargetMode="External"/><Relationship Id="rId1199" Type="http://schemas.openxmlformats.org/officeDocument/2006/relationships/hyperlink" Target="https://wildberries.ru/catalog/229688332/detail.aspx" TargetMode="External"/><Relationship Id="rId331" Type="http://schemas.openxmlformats.org/officeDocument/2006/relationships/hyperlink" Target="https://ozon.ru/t/LkG0P8D" TargetMode="External"/><Relationship Id="rId429" Type="http://schemas.openxmlformats.org/officeDocument/2006/relationships/hyperlink" Target="https://www.ozon.ru/product/334655617/" TargetMode="External"/><Relationship Id="rId636" Type="http://schemas.openxmlformats.org/officeDocument/2006/relationships/hyperlink" Target="https://ozon.ru/t/XYGQjwy" TargetMode="External"/><Relationship Id="rId1059" Type="http://schemas.openxmlformats.org/officeDocument/2006/relationships/hyperlink" Target="https://ozon.ru/t/5aLb0Pr" TargetMode="External"/><Relationship Id="rId1266" Type="http://schemas.openxmlformats.org/officeDocument/2006/relationships/hyperlink" Target="https://www.wildberries.ru/catalog/216494874/detail.aspx?size=345105119" TargetMode="External"/><Relationship Id="rId843" Type="http://schemas.openxmlformats.org/officeDocument/2006/relationships/hyperlink" Target="https://www.wildberries.ru/catalog/222690331/detail.aspx" TargetMode="External"/><Relationship Id="rId1126" Type="http://schemas.openxmlformats.org/officeDocument/2006/relationships/hyperlink" Target="https://ozon.ru/t/eooW8e6" TargetMode="External"/><Relationship Id="rId275" Type="http://schemas.openxmlformats.org/officeDocument/2006/relationships/hyperlink" Target="http://slovo.net.ru/book/108322" TargetMode="External"/><Relationship Id="rId482" Type="http://schemas.openxmlformats.org/officeDocument/2006/relationships/hyperlink" Target="https://ozon.ru/t/bZRoGkq" TargetMode="External"/><Relationship Id="rId703" Type="http://schemas.openxmlformats.org/officeDocument/2006/relationships/hyperlink" Target="https://ozon.ru/t/KkK0Z00" TargetMode="External"/><Relationship Id="rId910" Type="http://schemas.openxmlformats.org/officeDocument/2006/relationships/hyperlink" Target="https://ozon.ru/t/3gp21j2" TargetMode="External"/><Relationship Id="rId1333" Type="http://schemas.openxmlformats.org/officeDocument/2006/relationships/hyperlink" Target="https://www.wildberries.ru/catalog/63773926/detail.aspx?size=112052812" TargetMode="External"/><Relationship Id="rId135" Type="http://schemas.openxmlformats.org/officeDocument/2006/relationships/hyperlink" Target="https://ozon.ru/t/V4VXBa9" TargetMode="External"/><Relationship Id="rId342" Type="http://schemas.openxmlformats.org/officeDocument/2006/relationships/hyperlink" Target="https://ozon.ru/t/RXwY98V" TargetMode="External"/><Relationship Id="rId787" Type="http://schemas.openxmlformats.org/officeDocument/2006/relationships/hyperlink" Target="https://ozon.ru/t/y5zpDlj/" TargetMode="External"/><Relationship Id="rId994" Type="http://schemas.openxmlformats.org/officeDocument/2006/relationships/hyperlink" Target="https://www.wildberries.ru/catalog/215228788/detail.aspx" TargetMode="External"/><Relationship Id="rId202" Type="http://schemas.openxmlformats.org/officeDocument/2006/relationships/hyperlink" Target="https://ozon.ru/t/NPdLaGJ" TargetMode="External"/><Relationship Id="rId647" Type="http://schemas.openxmlformats.org/officeDocument/2006/relationships/hyperlink" Target="https://www.wildberries.ru/catalog/171242130/detail.aspx" TargetMode="External"/><Relationship Id="rId854" Type="http://schemas.openxmlformats.org/officeDocument/2006/relationships/hyperlink" Target="https://wildberries.ru/catalog/263080762/detail.aspx" TargetMode="External"/><Relationship Id="rId1277" Type="http://schemas.openxmlformats.org/officeDocument/2006/relationships/hyperlink" Target="https://ozon.ru/t/OZgKzEz" TargetMode="External"/><Relationship Id="rId286" Type="http://schemas.openxmlformats.org/officeDocument/2006/relationships/hyperlink" Target="https://www.wildberries.ru/catalog/7627982/detail.aspx?targetUrl=SN" TargetMode="External"/><Relationship Id="rId493" Type="http://schemas.openxmlformats.org/officeDocument/2006/relationships/hyperlink" Target="https://ozon.ru/t/1BWB9G1" TargetMode="External"/><Relationship Id="rId507" Type="http://schemas.openxmlformats.org/officeDocument/2006/relationships/hyperlink" Target="https://ozon.ru/t/BwK8Pb5" TargetMode="External"/><Relationship Id="rId714" Type="http://schemas.openxmlformats.org/officeDocument/2006/relationships/hyperlink" Target="https://www.ozon.ru/product/kurtka-dzhinsovaya-yarmarka-palto-1001860369/?from_sku=1001864298&amp;oos_search=false" TargetMode="External"/><Relationship Id="rId921" Type="http://schemas.openxmlformats.org/officeDocument/2006/relationships/hyperlink" Target="https://wildberries.ru/catalog/264004179/detail.aspx" TargetMode="External"/><Relationship Id="rId1137" Type="http://schemas.openxmlformats.org/officeDocument/2006/relationships/hyperlink" Target="https://wildberries.ru/catalog/144631961/detail.aspx" TargetMode="External"/><Relationship Id="rId1344" Type="http://schemas.openxmlformats.org/officeDocument/2006/relationships/hyperlink" Target="https://wildberries.ru/catalog/173631577/detail.aspx" TargetMode="External"/><Relationship Id="rId50" Type="http://schemas.openxmlformats.org/officeDocument/2006/relationships/hyperlink" Target="https://www.wildberries.ru/catalog/23724789/detail.aspx?targetUrl=SN" TargetMode="External"/><Relationship Id="rId146" Type="http://schemas.openxmlformats.org/officeDocument/2006/relationships/hyperlink" Target="https://ozon.ru/t/Q217ydW" TargetMode="External"/><Relationship Id="rId353" Type="http://schemas.openxmlformats.org/officeDocument/2006/relationships/hyperlink" Target="https://ozon.ru/t/l1L23GX" TargetMode="External"/><Relationship Id="rId560" Type="http://schemas.openxmlformats.org/officeDocument/2006/relationships/hyperlink" Target="https://ozon.ru/t/KM5AJZ7" TargetMode="External"/><Relationship Id="rId798" Type="http://schemas.openxmlformats.org/officeDocument/2006/relationships/hyperlink" Target="https://www.wildberries.ru/catalog/221514108/detail.aspx" TargetMode="External"/><Relationship Id="rId1190" Type="http://schemas.openxmlformats.org/officeDocument/2006/relationships/hyperlink" Target="https://wildberries.ru/catalog/236166452/detail.aspx" TargetMode="External"/><Relationship Id="rId1204" Type="http://schemas.openxmlformats.org/officeDocument/2006/relationships/hyperlink" Target="https://wildberries.ru/catalog/195939000/detail.aspx" TargetMode="External"/><Relationship Id="rId213" Type="http://schemas.openxmlformats.org/officeDocument/2006/relationships/hyperlink" Target="https://ozon.ru/t/od582Py" TargetMode="External"/><Relationship Id="rId420" Type="http://schemas.openxmlformats.org/officeDocument/2006/relationships/hyperlink" Target="https://www.wildberries.ru/catalog/147592195/detail.aspx?targetUrl=EX" TargetMode="External"/><Relationship Id="rId658" Type="http://schemas.openxmlformats.org/officeDocument/2006/relationships/hyperlink" Target="https://wildberries.ru/catalog/224663745/detail.aspx" TargetMode="External"/><Relationship Id="rId865" Type="http://schemas.openxmlformats.org/officeDocument/2006/relationships/hyperlink" Target="https://ozon.ru/t/ewZ8ZQ6" TargetMode="External"/><Relationship Id="rId1050" Type="http://schemas.openxmlformats.org/officeDocument/2006/relationships/hyperlink" Target="https://www.wildberries.ru/catalog/182386457/detail.aspx?targetUrl=SN" TargetMode="External"/><Relationship Id="rId1288" Type="http://schemas.openxmlformats.org/officeDocument/2006/relationships/hyperlink" Target="https://ozon.ru/t/mORnWoK" TargetMode="External"/><Relationship Id="rId297" Type="http://schemas.openxmlformats.org/officeDocument/2006/relationships/hyperlink" Target="https://www.wildberries.ru/catalog/26127702/detail.aspx?targetUrl=SN" TargetMode="External"/><Relationship Id="rId518" Type="http://schemas.openxmlformats.org/officeDocument/2006/relationships/hyperlink" Target="https://ozon.ru/t/nk0MaRA" TargetMode="External"/><Relationship Id="rId725" Type="http://schemas.openxmlformats.org/officeDocument/2006/relationships/hyperlink" Target="https://ozon.ru/t/rLQ3K6W" TargetMode="External"/><Relationship Id="rId932" Type="http://schemas.openxmlformats.org/officeDocument/2006/relationships/hyperlink" Target="https://wildberries.ru/catalog/200336803/detail.aspx" TargetMode="External"/><Relationship Id="rId1148" Type="http://schemas.openxmlformats.org/officeDocument/2006/relationships/hyperlink" Target="https://www.wildberries.ru/catalog/185862729/detail.aspx" TargetMode="External"/><Relationship Id="rId1355" Type="http://schemas.openxmlformats.org/officeDocument/2006/relationships/hyperlink" Target="https://wildberries.ru/catalog/218795666/detail.aspx" TargetMode="External"/><Relationship Id="rId157" Type="http://schemas.openxmlformats.org/officeDocument/2006/relationships/hyperlink" Target="https://www.wildberries.ru/catalog/78729603/detail.aspx?targetUrl=SN" TargetMode="External"/><Relationship Id="rId364" Type="http://schemas.openxmlformats.org/officeDocument/2006/relationships/hyperlink" Target="https://ozon.ru/t/7pMN9zd" TargetMode="External"/><Relationship Id="rId1008" Type="http://schemas.openxmlformats.org/officeDocument/2006/relationships/hyperlink" Target="https://ozon.ru/t/gJ8Qrk2" TargetMode="External"/><Relationship Id="rId1215" Type="http://schemas.openxmlformats.org/officeDocument/2006/relationships/hyperlink" Target="https://ozon.ru/t/D1XjOx1" TargetMode="External"/><Relationship Id="rId61" Type="http://schemas.openxmlformats.org/officeDocument/2006/relationships/hyperlink" Target="https://ozon.ru/t/g895L1R" TargetMode="External"/><Relationship Id="rId571" Type="http://schemas.openxmlformats.org/officeDocument/2006/relationships/hyperlink" Target="https://www.wildberries.ru/catalog/7369104/detail.aspx" TargetMode="External"/><Relationship Id="rId669" Type="http://schemas.openxmlformats.org/officeDocument/2006/relationships/hyperlink" Target="https://www.wildberries.ru/catalog/217933635/detail.aspx?size=347059320" TargetMode="External"/><Relationship Id="rId876" Type="http://schemas.openxmlformats.org/officeDocument/2006/relationships/hyperlink" Target="https://wildberries.ru/catalog/197777114/detail.aspx" TargetMode="External"/><Relationship Id="rId1299" Type="http://schemas.openxmlformats.org/officeDocument/2006/relationships/hyperlink" Target="https://ozon.ru/t/dJdM3Zx" TargetMode="External"/><Relationship Id="rId19" Type="http://schemas.openxmlformats.org/officeDocument/2006/relationships/hyperlink" Target="https://www.wildberries.ru/catalog/134083902/detail.aspx" TargetMode="External"/><Relationship Id="rId224" Type="http://schemas.openxmlformats.org/officeDocument/2006/relationships/hyperlink" Target="https://ozon.ru/t/LawWEL5" TargetMode="External"/><Relationship Id="rId431" Type="http://schemas.openxmlformats.org/officeDocument/2006/relationships/hyperlink" Target="https://www.wildberries.ru/catalog/230225627/detail.aspx?size=363618179" TargetMode="External"/><Relationship Id="rId529" Type="http://schemas.openxmlformats.org/officeDocument/2006/relationships/hyperlink" Target="https://www.wildberries.ru/catalog/119894961/detail.aspx?size=212451768" TargetMode="External"/><Relationship Id="rId736" Type="http://schemas.openxmlformats.org/officeDocument/2006/relationships/hyperlink" Target="https://www.wildberries.ru/catalog/167080570/detail.aspx?size=277914861" TargetMode="External"/><Relationship Id="rId1061" Type="http://schemas.openxmlformats.org/officeDocument/2006/relationships/hyperlink" Target="https://ozon.ru/t/XRkVDye" TargetMode="External"/><Relationship Id="rId1159" Type="http://schemas.openxmlformats.org/officeDocument/2006/relationships/hyperlink" Target="https://ozon.ru/t/Bqq88nQ" TargetMode="External"/><Relationship Id="rId1366" Type="http://schemas.openxmlformats.org/officeDocument/2006/relationships/hyperlink" Target="https://www.wildberries.ru/catalog/212229058/detail.aspx" TargetMode="External"/><Relationship Id="rId168" Type="http://schemas.openxmlformats.org/officeDocument/2006/relationships/hyperlink" Target="https://www.wildberries.ru/catalog/193970106/detail.aspx?targetUrl=SN" TargetMode="External"/><Relationship Id="rId943" Type="http://schemas.openxmlformats.org/officeDocument/2006/relationships/hyperlink" Target="https://www.wildberries.ru/catalog/224867818/detail.aspx?size=356414753" TargetMode="External"/><Relationship Id="rId1019" Type="http://schemas.openxmlformats.org/officeDocument/2006/relationships/hyperlink" Target="https://ozon.ru/t/E6wm99G" TargetMode="External"/><Relationship Id="rId72" Type="http://schemas.openxmlformats.org/officeDocument/2006/relationships/hyperlink" Target="https://www.wildberries.ru/catalog/166771024/detail.aspx?targetUrl=SN" TargetMode="External"/><Relationship Id="rId375" Type="http://schemas.openxmlformats.org/officeDocument/2006/relationships/hyperlink" Target="https://ozon.ru/t/AGRkqjK" TargetMode="External"/><Relationship Id="rId582" Type="http://schemas.openxmlformats.org/officeDocument/2006/relationships/hyperlink" Target="https://market.yandex.ru/product--planshet-teclast-t50-tiger-t616-2-0-8c-ram8gb-rom256gb-11-ips-2000x1200-3g-4g-android-11-serebristyi-20mpix-8mpix-bt-gps-wifi-touch-microsd-1tb-7500/1912709390?sku=102252575271&amp;uniqueId=43149540&amp;do-waremd5=pnHuVyKojONXx1Xwu6WOgQ" TargetMode="External"/><Relationship Id="rId803" Type="http://schemas.openxmlformats.org/officeDocument/2006/relationships/hyperlink" Target="https://megamarket.ru/catalog/details/kniga-zaychik-seva-obidelsya-poleznye-skazki-per-600005227477/" TargetMode="External"/><Relationship Id="rId1226" Type="http://schemas.openxmlformats.org/officeDocument/2006/relationships/hyperlink" Target="https://wildberries.ru/catalog/194578838/detail.aspx" TargetMode="External"/><Relationship Id="rId3" Type="http://schemas.openxmlformats.org/officeDocument/2006/relationships/hyperlink" Target="https://www.wildberries.ru/catalog/12762408/detail.aspx" TargetMode="External"/><Relationship Id="rId235" Type="http://schemas.openxmlformats.org/officeDocument/2006/relationships/hyperlink" Target="https://www.wildberries.ru/catalog/105850081/detail.aspx?targetUrl=SN" TargetMode="External"/><Relationship Id="rId442" Type="http://schemas.openxmlformats.org/officeDocument/2006/relationships/hyperlink" Target="https://wildberries.ru/catalog/156046414/detail.aspx" TargetMode="External"/><Relationship Id="rId887" Type="http://schemas.openxmlformats.org/officeDocument/2006/relationships/hyperlink" Target="https://ozon.ru/t/Mn7ZRQm" TargetMode="External"/><Relationship Id="rId1072" Type="http://schemas.openxmlformats.org/officeDocument/2006/relationships/hyperlink" Target="https://www.wildberries.ru/catalog/76938123/detail.aspx" TargetMode="External"/><Relationship Id="rId302" Type="http://schemas.openxmlformats.org/officeDocument/2006/relationships/hyperlink" Target="https://www.wildberries.ru/catalog/210150645/detail.aspx?targetUrl=SN" TargetMode="External"/><Relationship Id="rId747" Type="http://schemas.openxmlformats.org/officeDocument/2006/relationships/hyperlink" Target="https://ozon.ru/t/rPoog03" TargetMode="External"/><Relationship Id="rId954" Type="http://schemas.openxmlformats.org/officeDocument/2006/relationships/hyperlink" Target="https://ozon.ru/t/3J9bYaP" TargetMode="External"/><Relationship Id="rId1377" Type="http://schemas.openxmlformats.org/officeDocument/2006/relationships/hyperlink" Target="https://www.wildberries.ru/catalog/257942002/detail.aspx?size=401480100" TargetMode="External"/><Relationship Id="rId83" Type="http://schemas.openxmlformats.org/officeDocument/2006/relationships/hyperlink" Target="https://ozon.ru/t/bbelQ71" TargetMode="External"/><Relationship Id="rId179" Type="http://schemas.openxmlformats.org/officeDocument/2006/relationships/hyperlink" Target="https://www.wildberries.ru/catalog/47678900/detail.aspx?targetUrl=SN" TargetMode="External"/><Relationship Id="rId386" Type="http://schemas.openxmlformats.org/officeDocument/2006/relationships/hyperlink" Target="https://ozon.ru/t/4ra4a2g" TargetMode="External"/><Relationship Id="rId593" Type="http://schemas.openxmlformats.org/officeDocument/2006/relationships/hyperlink" Target="https://www.wildberries.ru/catalog/192765522/detail.aspx" TargetMode="External"/><Relationship Id="rId607" Type="http://schemas.openxmlformats.org/officeDocument/2006/relationships/hyperlink" Target="https://www.wildberries.ru/catalog/227572435/detail.aspx?targetUrl=EX%7C2%7CISC%7CIT%7Cpopular%7C%7C%7C%7C%7C%7C&amp;size=360043041" TargetMode="External"/><Relationship Id="rId814" Type="http://schemas.openxmlformats.org/officeDocument/2006/relationships/hyperlink" Target="https://wildberries.ru/catalog/230438644/detail.aspx" TargetMode="External"/><Relationship Id="rId1237" Type="http://schemas.openxmlformats.org/officeDocument/2006/relationships/hyperlink" Target="https://ozon.ru/t/pjkjAJ8" TargetMode="External"/><Relationship Id="rId246" Type="http://schemas.openxmlformats.org/officeDocument/2006/relationships/hyperlink" Target="https://ozon.ru/t/jPY9oo" TargetMode="External"/><Relationship Id="rId453" Type="http://schemas.openxmlformats.org/officeDocument/2006/relationships/hyperlink" Target="https://ozon.ru/t/LdDN0Bg" TargetMode="External"/><Relationship Id="rId660" Type="http://schemas.openxmlformats.org/officeDocument/2006/relationships/hyperlink" Target="https://www.wildberries.ru/catalog/65545332/detail.aspx?targetUrl=SN" TargetMode="External"/><Relationship Id="rId898" Type="http://schemas.openxmlformats.org/officeDocument/2006/relationships/hyperlink" Target="https://ozon.ru/t/1jkO4DL" TargetMode="External"/><Relationship Id="rId1083" Type="http://schemas.openxmlformats.org/officeDocument/2006/relationships/hyperlink" Target="https://wildberries.ru/catalog/249138381/detail.aspx" TargetMode="External"/><Relationship Id="rId1290" Type="http://schemas.openxmlformats.org/officeDocument/2006/relationships/hyperlink" Target="https://wildberries.ru/catalog/183229186/detail.aspx" TargetMode="External"/><Relationship Id="rId1304" Type="http://schemas.openxmlformats.org/officeDocument/2006/relationships/hyperlink" Target="https://www.wildberries.ru/catalog/25115494/detail.aspx?size=58950588" TargetMode="External"/><Relationship Id="rId106" Type="http://schemas.openxmlformats.org/officeDocument/2006/relationships/hyperlink" Target="https://www.wildberries.ru/catalog/218782248/detail.aspx" TargetMode="External"/><Relationship Id="rId313" Type="http://schemas.openxmlformats.org/officeDocument/2006/relationships/hyperlink" Target="https://ozon.ru/t/KjJoR1" TargetMode="External"/><Relationship Id="rId758" Type="http://schemas.openxmlformats.org/officeDocument/2006/relationships/hyperlink" Target="https://www.wildberries.ru/catalog/40721388/detail.aspx?size=82116476" TargetMode="External"/><Relationship Id="rId965" Type="http://schemas.openxmlformats.org/officeDocument/2006/relationships/hyperlink" Target="https://wildberries.ru/catalog/263858290/detail.aspx" TargetMode="External"/><Relationship Id="rId1150" Type="http://schemas.openxmlformats.org/officeDocument/2006/relationships/hyperlink" Target="https://wildberries.ru/catalog/169074887/detail.aspx" TargetMode="External"/><Relationship Id="rId10" Type="http://schemas.openxmlformats.org/officeDocument/2006/relationships/hyperlink" Target="https://www.ozon.ru/product/furminator-rascheska-deshedder-puhoderka-chesalka-trimmer-dlya-zhivotnyh-sobak-i-koshek-728606734/?from=share_android&amp;utm_campaign=productpage_link&amp;utm_medium=share_button&amp;utm_source=smm" TargetMode="External"/><Relationship Id="rId94" Type="http://schemas.openxmlformats.org/officeDocument/2006/relationships/hyperlink" Target="https://ozon.ru/t/kX4jN05" TargetMode="External"/><Relationship Id="rId397" Type="http://schemas.openxmlformats.org/officeDocument/2006/relationships/hyperlink" Target="https://www.wildberries.ru/catalog/177337046/detail.aspx?targetUrl=SN" TargetMode="External"/><Relationship Id="rId520" Type="http://schemas.openxmlformats.org/officeDocument/2006/relationships/hyperlink" Target="https://www.wildberries.ru/catalog/5743806/detail.aspx?targetUrl=SN" TargetMode="External"/><Relationship Id="rId618" Type="http://schemas.openxmlformats.org/officeDocument/2006/relationships/hyperlink" Target="https://www.wildberries.ru/catalog/21359777/detail.aspx?size=54349371" TargetMode="External"/><Relationship Id="rId825" Type="http://schemas.openxmlformats.org/officeDocument/2006/relationships/hyperlink" Target="https://wildberries.ru/catalog/90622034/detail.aspx" TargetMode="External"/><Relationship Id="rId1248" Type="http://schemas.openxmlformats.org/officeDocument/2006/relationships/hyperlink" Target="https://www.wildberries.ru/catalog/182785180/detail.aspx" TargetMode="External"/><Relationship Id="rId257" Type="http://schemas.openxmlformats.org/officeDocument/2006/relationships/hyperlink" Target="https://ozon.ru/t/WY9wld" TargetMode="External"/><Relationship Id="rId464" Type="http://schemas.openxmlformats.org/officeDocument/2006/relationships/hyperlink" Target="https://ozon.ru/t/V0JPrQz" TargetMode="External"/><Relationship Id="rId1010" Type="http://schemas.openxmlformats.org/officeDocument/2006/relationships/hyperlink" Target="https://www.wildberries.ru/catalog/210086404/detail.aspx?targetUrl=SN" TargetMode="External"/><Relationship Id="rId1094" Type="http://schemas.openxmlformats.org/officeDocument/2006/relationships/hyperlink" Target="https://wildberries.ru/catalog/12348260/detail.aspx" TargetMode="External"/><Relationship Id="rId1108" Type="http://schemas.openxmlformats.org/officeDocument/2006/relationships/hyperlink" Target="https://www.wildberries.ru/catalog/164426894/detail.aspx" TargetMode="External"/><Relationship Id="rId1315" Type="http://schemas.openxmlformats.org/officeDocument/2006/relationships/hyperlink" Target="https://www.avito.ru/orders/70000000194295502?source=messenger" TargetMode="External"/><Relationship Id="rId117" Type="http://schemas.openxmlformats.org/officeDocument/2006/relationships/hyperlink" Target="https://www.wildberries.ru/catalog/147326603/detail.aspx?targetUrl=SN" TargetMode="External"/><Relationship Id="rId671" Type="http://schemas.openxmlformats.org/officeDocument/2006/relationships/hyperlink" Target="https://ozon.ru/t/146ZwLG" TargetMode="External"/><Relationship Id="rId769" Type="http://schemas.openxmlformats.org/officeDocument/2006/relationships/hyperlink" Target="https://ozon.ru/t/66w9G1Z" TargetMode="External"/><Relationship Id="rId976" Type="http://schemas.openxmlformats.org/officeDocument/2006/relationships/hyperlink" Target="https://wildberries.ru/catalog/25708927/detail.aspx" TargetMode="External"/><Relationship Id="rId324" Type="http://schemas.openxmlformats.org/officeDocument/2006/relationships/hyperlink" Target="https://www.wildberries.ru/catalog/27291137/detail.aspx?targetUrl=SN" TargetMode="External"/><Relationship Id="rId531" Type="http://schemas.openxmlformats.org/officeDocument/2006/relationships/hyperlink" Target="https://ozon.ru/t/YbjXPL4" TargetMode="External"/><Relationship Id="rId629" Type="http://schemas.openxmlformats.org/officeDocument/2006/relationships/hyperlink" Target="https://wildberries.ru/catalog/105220862/detail.aspx" TargetMode="External"/><Relationship Id="rId1161" Type="http://schemas.openxmlformats.org/officeDocument/2006/relationships/hyperlink" Target="https://www.wildberries.ru/catalog/218117648/detail.aspx" TargetMode="External"/><Relationship Id="rId1259" Type="http://schemas.openxmlformats.org/officeDocument/2006/relationships/hyperlink" Target="https://www.wildberries.ru/catalog/211499714/detail.aspx" TargetMode="External"/><Relationship Id="rId836" Type="http://schemas.openxmlformats.org/officeDocument/2006/relationships/hyperlink" Target="https://www.wildberries.ru/catalog/28303627/detail.aspx" TargetMode="External"/><Relationship Id="rId1021" Type="http://schemas.openxmlformats.org/officeDocument/2006/relationships/hyperlink" Target="https://wildberries.ru/catalog/225919883/detail.aspx" TargetMode="External"/><Relationship Id="rId1119" Type="http://schemas.openxmlformats.org/officeDocument/2006/relationships/hyperlink" Target="https://ozon.ru/t/kn4bP2z" TargetMode="External"/><Relationship Id="rId903" Type="http://schemas.openxmlformats.org/officeDocument/2006/relationships/hyperlink" Target="https://www.wildberries.ru/catalog/148815731/detail.aspx" TargetMode="External"/><Relationship Id="rId1326" Type="http://schemas.openxmlformats.org/officeDocument/2006/relationships/hyperlink" Target="https://ozon.ru/t/vY4gKYj" TargetMode="External"/><Relationship Id="rId32" Type="http://schemas.openxmlformats.org/officeDocument/2006/relationships/hyperlink" Target="https://ozon.ru/t/6V7qaBw" TargetMode="External"/><Relationship Id="rId181" Type="http://schemas.openxmlformats.org/officeDocument/2006/relationships/hyperlink" Target="https://www.wildberries.ru/catalog/64964221/detail.aspx?targetUrl=SN" TargetMode="External"/><Relationship Id="rId279" Type="http://schemas.openxmlformats.org/officeDocument/2006/relationships/hyperlink" Target="https://www.wildberries.ru/catalog/37318581/detail.aspx?targetUrl=SN" TargetMode="External"/><Relationship Id="rId486" Type="http://schemas.openxmlformats.org/officeDocument/2006/relationships/hyperlink" Target="https://www.wildberries.ru/catalog/110895095/detail.aspx?size=201153121" TargetMode="External"/><Relationship Id="rId693" Type="http://schemas.openxmlformats.org/officeDocument/2006/relationships/hyperlink" Target="https://www.wildberries.ru/catalog/170529312/detail.aspx" TargetMode="External"/><Relationship Id="rId139" Type="http://schemas.openxmlformats.org/officeDocument/2006/relationships/hyperlink" Target="https://ozon.ru/t/ElJpVey" TargetMode="External"/><Relationship Id="rId346" Type="http://schemas.openxmlformats.org/officeDocument/2006/relationships/hyperlink" Target="https://ozon.ru/t/l1wlr2J" TargetMode="External"/><Relationship Id="rId553" Type="http://schemas.openxmlformats.org/officeDocument/2006/relationships/hyperlink" Target="https://www.ozon.ru/product/ryukzak-shkolnyy-dlya-devochki-1-klass-ortopedicheskiy-3v1-ranets-dlya-pervoklassnika-1243127897/?__rr=1&amp;from_sku=1168384854&amp;oos_search=false" TargetMode="External"/><Relationship Id="rId760" Type="http://schemas.openxmlformats.org/officeDocument/2006/relationships/hyperlink" Target="https://www.wildberries.ru/catalog/252279571/detail.aspx?size=394088212" TargetMode="External"/><Relationship Id="rId998" Type="http://schemas.openxmlformats.org/officeDocument/2006/relationships/hyperlink" Target="https://www.wildberries.ru/catalog/265017172/detail.aspx" TargetMode="External"/><Relationship Id="rId1183" Type="http://schemas.openxmlformats.org/officeDocument/2006/relationships/hyperlink" Target="https://ozon.ru/t/Opw9dxP" TargetMode="External"/><Relationship Id="rId206" Type="http://schemas.openxmlformats.org/officeDocument/2006/relationships/hyperlink" Target="https://www.wildberries.ru/catalog/225265101/detail.aspx?targetUrl=SN" TargetMode="External"/><Relationship Id="rId413" Type="http://schemas.openxmlformats.org/officeDocument/2006/relationships/hyperlink" Target="https://www.wildberries.ru/catalog/208490107/detail.aspx?targetUrl=EX" TargetMode="External"/><Relationship Id="rId858" Type="http://schemas.openxmlformats.org/officeDocument/2006/relationships/hyperlink" Target="https://wildberries.ru/catalog/258437231/detail.aspx" TargetMode="External"/><Relationship Id="rId1043" Type="http://schemas.openxmlformats.org/officeDocument/2006/relationships/hyperlink" Target="https://www.wildberries.ru/catalog/167932915/detail.aspx?targetUrl=SN" TargetMode="External"/><Relationship Id="rId620" Type="http://schemas.openxmlformats.org/officeDocument/2006/relationships/hyperlink" Target="https://www.wildberries.ru/catalog/203588871/detail.aspx?size=329525886" TargetMode="External"/><Relationship Id="rId718" Type="http://schemas.openxmlformats.org/officeDocument/2006/relationships/hyperlink" Target="https://market.yandex.ru/cc/6T7T1AC" TargetMode="External"/><Relationship Id="rId925" Type="http://schemas.openxmlformats.org/officeDocument/2006/relationships/hyperlink" Target="https://wildberries.ru/catalog/196213658/detail.aspx" TargetMode="External"/><Relationship Id="rId1250" Type="http://schemas.openxmlformats.org/officeDocument/2006/relationships/hyperlink" Target="https://wildberries.ru/catalog/193640920/detail.aspx" TargetMode="External"/><Relationship Id="rId1348" Type="http://schemas.openxmlformats.org/officeDocument/2006/relationships/hyperlink" Target="https://wildberries.ru/catalog/161000815/detail.aspx" TargetMode="External"/><Relationship Id="rId1110" Type="http://schemas.openxmlformats.org/officeDocument/2006/relationships/hyperlink" Target="https://www.wildberries.ru/catalog/190357247/detail.aspx" TargetMode="External"/><Relationship Id="rId1208" Type="http://schemas.openxmlformats.org/officeDocument/2006/relationships/hyperlink" Target="https://www.wildberries.ru/catalog/263805837/detail.aspx?size=409545689" TargetMode="External"/><Relationship Id="rId54" Type="http://schemas.openxmlformats.org/officeDocument/2006/relationships/hyperlink" Target="https://ozon.ru/t/jZB8Nnk" TargetMode="External"/><Relationship Id="rId270" Type="http://schemas.openxmlformats.org/officeDocument/2006/relationships/hyperlink" Target="https://ozon.ru/t/80Q3E5" TargetMode="External"/><Relationship Id="rId130" Type="http://schemas.openxmlformats.org/officeDocument/2006/relationships/hyperlink" Target="https://ozon.ru/t/X4B07NA" TargetMode="External"/><Relationship Id="rId368" Type="http://schemas.openxmlformats.org/officeDocument/2006/relationships/hyperlink" Target="https://www.avito.ru/sankt-peterburg/knigi_i_zhurnaly/sborniki_po_muzyke_noty_3657514836" TargetMode="External"/><Relationship Id="rId575" Type="http://schemas.openxmlformats.org/officeDocument/2006/relationships/hyperlink" Target="https://www.wildberries.ru/catalog/168345820/detail.aspx" TargetMode="External"/><Relationship Id="rId782" Type="http://schemas.openxmlformats.org/officeDocument/2006/relationships/hyperlink" Target="https://www.labirint.ru/books/1004150/" TargetMode="External"/><Relationship Id="rId228" Type="http://schemas.openxmlformats.org/officeDocument/2006/relationships/hyperlink" Target="https://www.wildberries.ru/catalog/156776544/detail.aspx?targetUrl=SN" TargetMode="External"/><Relationship Id="rId435" Type="http://schemas.openxmlformats.org/officeDocument/2006/relationships/hyperlink" Target="https://wildberries.ru/catalog/161142736/detail.aspx" TargetMode="External"/><Relationship Id="rId642" Type="http://schemas.openxmlformats.org/officeDocument/2006/relationships/hyperlink" Target="https://wildberries.ru/catalog/87440400/detail.aspx" TargetMode="External"/><Relationship Id="rId1065" Type="http://schemas.openxmlformats.org/officeDocument/2006/relationships/hyperlink" Target="https://ozon.ru/t/4JwxVdj" TargetMode="External"/><Relationship Id="rId1272" Type="http://schemas.openxmlformats.org/officeDocument/2006/relationships/hyperlink" Target="https://wildberries.ru/catalog/26820324/detail.aspx" TargetMode="External"/><Relationship Id="rId502" Type="http://schemas.openxmlformats.org/officeDocument/2006/relationships/hyperlink" Target="https://wildberries.ru/catalog/220927455/detail.aspx" TargetMode="External"/><Relationship Id="rId947" Type="http://schemas.openxmlformats.org/officeDocument/2006/relationships/hyperlink" Target="https://ozon.ru/t/keO1Mm" TargetMode="External"/><Relationship Id="rId1132" Type="http://schemas.openxmlformats.org/officeDocument/2006/relationships/hyperlink" Target="https://www.wildberries.ru/catalog/252342739/detail.aspx" TargetMode="External"/><Relationship Id="rId76" Type="http://schemas.openxmlformats.org/officeDocument/2006/relationships/hyperlink" Target="https://www.wildberries.ru/catalog/104494893/detail.aspx?size=163778050" TargetMode="External"/><Relationship Id="rId807" Type="http://schemas.openxmlformats.org/officeDocument/2006/relationships/hyperlink" Target="https://wildberries.ru/catalog/156601537/detail.aspx" TargetMode="External"/><Relationship Id="rId292" Type="http://schemas.openxmlformats.org/officeDocument/2006/relationships/hyperlink" Target="https://ozon.ru/t/6r3MBY" TargetMode="External"/><Relationship Id="rId597" Type="http://schemas.openxmlformats.org/officeDocument/2006/relationships/hyperlink" Target="https://www.wildberries.ru/catalog/72192679/detail.aspx" TargetMode="External"/><Relationship Id="rId152" Type="http://schemas.openxmlformats.org/officeDocument/2006/relationships/hyperlink" Target="https://www.wildberries.ru/catalog/156509185/detail.aspx?targetUrl=SN" TargetMode="External"/><Relationship Id="rId457" Type="http://schemas.openxmlformats.org/officeDocument/2006/relationships/hyperlink" Target="https://wildberries.ru/catalog/213803667/detail.aspx" TargetMode="External"/><Relationship Id="rId1087" Type="http://schemas.openxmlformats.org/officeDocument/2006/relationships/hyperlink" Target="https://www.avito.ru/ryazan/zapchasti_i_aksessuary/rele_benzonasosa_honda_accord_5_1993-1998g_4262068009" TargetMode="External"/><Relationship Id="rId1294" Type="http://schemas.openxmlformats.org/officeDocument/2006/relationships/hyperlink" Target="https://wildberries.ru/catalog/241640855/detail.aspx" TargetMode="External"/><Relationship Id="rId664" Type="http://schemas.openxmlformats.org/officeDocument/2006/relationships/hyperlink" Target="https://wildberries.ru/catalog/158311059/detail.aspx" TargetMode="External"/><Relationship Id="rId871" Type="http://schemas.openxmlformats.org/officeDocument/2006/relationships/hyperlink" Target="https://wildberries.ru/catalog/180220467/detail.aspx" TargetMode="External"/><Relationship Id="rId969" Type="http://schemas.openxmlformats.org/officeDocument/2006/relationships/hyperlink" Target="https://www.avito.ru/orders/70000000165517926?source=messenger" TargetMode="External"/><Relationship Id="rId317" Type="http://schemas.openxmlformats.org/officeDocument/2006/relationships/hyperlink" Target="https://www.detmir.ru/product/index/id/6255549/?variant_id=90477722" TargetMode="External"/><Relationship Id="rId524" Type="http://schemas.openxmlformats.org/officeDocument/2006/relationships/hyperlink" Target="https://ozon.ru/t/3e15w2g" TargetMode="External"/><Relationship Id="rId731" Type="http://schemas.openxmlformats.org/officeDocument/2006/relationships/hyperlink" Target="https://www.wildberries.ru/catalog/110794179/detail.aspx?size=201027507" TargetMode="External"/><Relationship Id="rId1154" Type="http://schemas.openxmlformats.org/officeDocument/2006/relationships/hyperlink" Target="https://ozon.ru/t/EO0YKn4" TargetMode="External"/><Relationship Id="rId1361" Type="http://schemas.openxmlformats.org/officeDocument/2006/relationships/hyperlink" Target="https://www.wildberries.ru/catalog/233949548/detail.aspx?size=368755447" TargetMode="External"/><Relationship Id="rId98" Type="http://schemas.openxmlformats.org/officeDocument/2006/relationships/hyperlink" Target="https://ozon.ru/t/KdMn5LL" TargetMode="External"/><Relationship Id="rId829" Type="http://schemas.openxmlformats.org/officeDocument/2006/relationships/hyperlink" Target="https://www.wildberries.ru/catalog/208097889/detail.aspx" TargetMode="External"/><Relationship Id="rId1014" Type="http://schemas.openxmlformats.org/officeDocument/2006/relationships/hyperlink" Target="https://wildberries.ru/catalog/271908583/detail.aspx" TargetMode="External"/><Relationship Id="rId1221" Type="http://schemas.openxmlformats.org/officeDocument/2006/relationships/hyperlink" Target="https://ozon.ru/t/1OxGdaA" TargetMode="External"/><Relationship Id="rId1319" Type="http://schemas.openxmlformats.org/officeDocument/2006/relationships/hyperlink" Target="https://ozon.ru/t/daB6onZ" TargetMode="External"/><Relationship Id="rId25" Type="http://schemas.openxmlformats.org/officeDocument/2006/relationships/hyperlink" Target="https://www.wildberries.ru/catalog/59285955/detail.aspx?size=106323763" TargetMode="External"/><Relationship Id="rId174" Type="http://schemas.openxmlformats.org/officeDocument/2006/relationships/hyperlink" Target="https://ozon.ru/t/76bynEN" TargetMode="External"/><Relationship Id="rId381" Type="http://schemas.openxmlformats.org/officeDocument/2006/relationships/hyperlink" Target="https://ozon.ru/t/P49YQEr" TargetMode="External"/><Relationship Id="rId241" Type="http://schemas.openxmlformats.org/officeDocument/2006/relationships/hyperlink" Target="https://market.yandex.ru/cc/kSzvkWo/" TargetMode="External"/><Relationship Id="rId479" Type="http://schemas.openxmlformats.org/officeDocument/2006/relationships/hyperlink" Target="https://ozon.ru/t/ADoPgM0" TargetMode="External"/><Relationship Id="rId686" Type="http://schemas.openxmlformats.org/officeDocument/2006/relationships/hyperlink" Target="https://wildberries.ru/catalog/115056667/detail.aspx" TargetMode="External"/><Relationship Id="rId893" Type="http://schemas.openxmlformats.org/officeDocument/2006/relationships/hyperlink" Target="https://wildberries.ru/catalog/235297349/detail.aspx" TargetMode="External"/><Relationship Id="rId339" Type="http://schemas.openxmlformats.org/officeDocument/2006/relationships/hyperlink" Target="https://ozon.ru/t/EzbGP1E" TargetMode="External"/><Relationship Id="rId546" Type="http://schemas.openxmlformats.org/officeDocument/2006/relationships/hyperlink" Target="https://www.wildberries.ru/catalog/234885104/detail.aspx?targetUrl=SN" TargetMode="External"/><Relationship Id="rId753" Type="http://schemas.openxmlformats.org/officeDocument/2006/relationships/hyperlink" Target="https://wildberries.ru/catalog/202699876/detail.aspx" TargetMode="External"/><Relationship Id="rId1176" Type="http://schemas.openxmlformats.org/officeDocument/2006/relationships/hyperlink" Target="https://ozon.ru/t/gZZqmwX" TargetMode="External"/><Relationship Id="rId1383" Type="http://schemas.openxmlformats.org/officeDocument/2006/relationships/vmlDrawing" Target="../drawings/vmlDrawing1.vml"/><Relationship Id="rId101" Type="http://schemas.openxmlformats.org/officeDocument/2006/relationships/hyperlink" Target="https://ozon.ru/t/AV20P28" TargetMode="External"/><Relationship Id="rId406" Type="http://schemas.openxmlformats.org/officeDocument/2006/relationships/hyperlink" Target="https://wildberries.ru/catalog/96565091/detail.aspx" TargetMode="External"/><Relationship Id="rId960" Type="http://schemas.openxmlformats.org/officeDocument/2006/relationships/hyperlink" Target="https://www.wildberries.ru/catalog/170186676/detail.aspx?targetUrl=SN" TargetMode="External"/><Relationship Id="rId1036" Type="http://schemas.openxmlformats.org/officeDocument/2006/relationships/hyperlink" Target="https://karapuzov.ru/igrushki/muzykalnye-igrushki/azbukvarik-luchshie-druzya-multipleer-s-ogonkami-kod-93458-s-2-let/" TargetMode="External"/><Relationship Id="rId1243" Type="http://schemas.openxmlformats.org/officeDocument/2006/relationships/hyperlink" Target="https://ozon.ru/t/OnP7py" TargetMode="External"/><Relationship Id="rId613" Type="http://schemas.openxmlformats.org/officeDocument/2006/relationships/hyperlink" Target="https://ozon.ru/t/83BqdEr" TargetMode="External"/><Relationship Id="rId820" Type="http://schemas.openxmlformats.org/officeDocument/2006/relationships/hyperlink" Target="https://wildberries.ru/catalog/230654054/detail.aspx" TargetMode="External"/><Relationship Id="rId918" Type="http://schemas.openxmlformats.org/officeDocument/2006/relationships/hyperlink" Target="https://wildberries.ru/catalog/236064275/detail.aspx" TargetMode="External"/><Relationship Id="rId1103" Type="http://schemas.openxmlformats.org/officeDocument/2006/relationships/hyperlink" Target="https://ozon.ru/t/AAO1821" TargetMode="External"/><Relationship Id="rId1310" Type="http://schemas.openxmlformats.org/officeDocument/2006/relationships/hyperlink" Target="https://simvolik.ru/catalog/suveniry-podarki/magnity/magnit-pazl-schastya-lyubvi-i-dobra-gibkiy-120kh95-mm/" TargetMode="External"/><Relationship Id="rId47" Type="http://schemas.openxmlformats.org/officeDocument/2006/relationships/hyperlink" Target="https://www.wildberries.ru/catalog/181462454/detail.aspx?targetUrl=SN" TargetMode="External"/><Relationship Id="rId196" Type="http://schemas.openxmlformats.org/officeDocument/2006/relationships/hyperlink" Target="https://ozon.ru/t/nbVoGKW" TargetMode="External"/><Relationship Id="rId263" Type="http://schemas.openxmlformats.org/officeDocument/2006/relationships/hyperlink" Target="https://ozon.ru/t/Gabyj4" TargetMode="External"/><Relationship Id="rId470" Type="http://schemas.openxmlformats.org/officeDocument/2006/relationships/hyperlink" Target="https://ozon.ru/t/QZp2gLz" TargetMode="External"/><Relationship Id="rId123" Type="http://schemas.openxmlformats.org/officeDocument/2006/relationships/hyperlink" Target="https://www.wildberries.ru/catalog/219000099/detail.aspx?size=348463348" TargetMode="External"/><Relationship Id="rId330" Type="http://schemas.openxmlformats.org/officeDocument/2006/relationships/hyperlink" Target="https://www.wildberries.ru/catalog/200699406/detail.aspx?targetUrl=SN" TargetMode="External"/><Relationship Id="rId568" Type="http://schemas.openxmlformats.org/officeDocument/2006/relationships/hyperlink" Target="https://www.wildberries.ru/catalog/181566281/detail.aspx" TargetMode="External"/><Relationship Id="rId775" Type="http://schemas.openxmlformats.org/officeDocument/2006/relationships/hyperlink" Target="https://www.wildberries.ru/catalog/19654903/detail.aspx?targetUrl=SN" TargetMode="External"/><Relationship Id="rId982" Type="http://schemas.openxmlformats.org/officeDocument/2006/relationships/hyperlink" Target="https://ozon.ru/t/bdqa4lM" TargetMode="External"/><Relationship Id="rId1198" Type="http://schemas.openxmlformats.org/officeDocument/2006/relationships/hyperlink" Target="https://wildberries.ru/catalog/225437454/detail.aspx" TargetMode="External"/><Relationship Id="rId428" Type="http://schemas.openxmlformats.org/officeDocument/2006/relationships/hyperlink" Target="https://ozon.ru/t/Pb0XBEV" TargetMode="External"/><Relationship Id="rId635" Type="http://schemas.openxmlformats.org/officeDocument/2006/relationships/hyperlink" Target="https://wildberries.ru/catalog/188764451/detail.aspx" TargetMode="External"/><Relationship Id="rId842" Type="http://schemas.openxmlformats.org/officeDocument/2006/relationships/hyperlink" Target="https://www.wildberries.ru/catalog/191099553/detail.aspx" TargetMode="External"/><Relationship Id="rId1058" Type="http://schemas.openxmlformats.org/officeDocument/2006/relationships/hyperlink" Target="https://ozon.ru/t/jGbjj5a" TargetMode="External"/><Relationship Id="rId1265" Type="http://schemas.openxmlformats.org/officeDocument/2006/relationships/hyperlink" Target="https://www.wildberries.ru/catalog/216493972/detail.aspx?size=345103632" TargetMode="External"/><Relationship Id="rId702" Type="http://schemas.openxmlformats.org/officeDocument/2006/relationships/hyperlink" Target="https://www.wildberries.ru/catalog/182206980/detail.aspx?targetUrl=SN" TargetMode="External"/><Relationship Id="rId1125" Type="http://schemas.openxmlformats.org/officeDocument/2006/relationships/hyperlink" Target="https://ozon.ru/t/KzpQved" TargetMode="External"/><Relationship Id="rId1332" Type="http://schemas.openxmlformats.org/officeDocument/2006/relationships/hyperlink" Target="https://www.wildberries.ru/catalog/274437609/detail.aspx?size=423211170" TargetMode="External"/><Relationship Id="rId69" Type="http://schemas.openxmlformats.org/officeDocument/2006/relationships/hyperlink" Target="https://ozon.ru/t/M7knjMl" TargetMode="External"/><Relationship Id="rId285" Type="http://schemas.openxmlformats.org/officeDocument/2006/relationships/hyperlink" Target="https://www.wildberries.ru/catalog/205658382/detail.aspx?targetUrl=SN" TargetMode="External"/><Relationship Id="rId492" Type="http://schemas.openxmlformats.org/officeDocument/2006/relationships/hyperlink" Target="https://ozon.ru/t/8RERALg" TargetMode="External"/><Relationship Id="rId797" Type="http://schemas.openxmlformats.org/officeDocument/2006/relationships/hyperlink" Target="https://www.ozon.ru/product/arifmetika-vychitanie-mnogorazovye-propisi-dlya-detey-ot-2-let-kirichek-elena-208629097/?utm_campaign=productpage_link&amp;utm_medium=share_button&amp;utm_source=smm" TargetMode="External"/><Relationship Id="rId145" Type="http://schemas.openxmlformats.org/officeDocument/2006/relationships/hyperlink" Target="https://ozon.ru/t/g8EDp4j" TargetMode="External"/><Relationship Id="rId352" Type="http://schemas.openxmlformats.org/officeDocument/2006/relationships/hyperlink" Target="https://ozon.ru/t/z0MLV3R" TargetMode="External"/><Relationship Id="rId1287" Type="http://schemas.openxmlformats.org/officeDocument/2006/relationships/hyperlink" Target="https://ozon.ru/t/gBNvRGL" TargetMode="External"/><Relationship Id="rId212" Type="http://schemas.openxmlformats.org/officeDocument/2006/relationships/hyperlink" Target="https://ozon.ru/t/66gbKqw" TargetMode="External"/><Relationship Id="rId657" Type="http://schemas.openxmlformats.org/officeDocument/2006/relationships/hyperlink" Target="https://wildberries.ru/catalog/246556332/detail.aspx" TargetMode="External"/><Relationship Id="rId864" Type="http://schemas.openxmlformats.org/officeDocument/2006/relationships/hyperlink" Target="https://www.wildberries.ru/catalog/264112527/detail.aspx" TargetMode="External"/><Relationship Id="rId517" Type="http://schemas.openxmlformats.org/officeDocument/2006/relationships/hyperlink" Target="https://ozon.ru/t/KKNBnBo" TargetMode="External"/><Relationship Id="rId724" Type="http://schemas.openxmlformats.org/officeDocument/2006/relationships/hyperlink" Target="https://ozon.ru/t/22kPaXj" TargetMode="External"/><Relationship Id="rId931" Type="http://schemas.openxmlformats.org/officeDocument/2006/relationships/hyperlink" Target="https://wildberries.ru/catalog/156226271/detail.aspx" TargetMode="External"/><Relationship Id="rId1147" Type="http://schemas.openxmlformats.org/officeDocument/2006/relationships/hyperlink" Target="https://wildberries.ru/catalog/206620793/detail.aspx" TargetMode="External"/><Relationship Id="rId1354" Type="http://schemas.openxmlformats.org/officeDocument/2006/relationships/hyperlink" Target="https://wildberries.ru/catalog/144315200/detail.aspx" TargetMode="External"/><Relationship Id="rId60" Type="http://schemas.openxmlformats.org/officeDocument/2006/relationships/hyperlink" Target="https://www.wildberries.ru/catalog/142759385/detail.aspx" TargetMode="External"/><Relationship Id="rId1007" Type="http://schemas.openxmlformats.org/officeDocument/2006/relationships/hyperlink" Target="https://ozon.ru/t/5R7QOYE" TargetMode="External"/><Relationship Id="rId1214" Type="http://schemas.openxmlformats.org/officeDocument/2006/relationships/hyperlink" Target="https://ozon.ru/t/jQWeGGR" TargetMode="External"/><Relationship Id="rId18" Type="http://schemas.openxmlformats.org/officeDocument/2006/relationships/hyperlink" Target="https://www.ozon.ru/product/nabor-izmeritelnyh-aksessuarov-1453871478/?from=share_android&amp;utm_campaign=productpage_link&amp;utm_medium=share_button&amp;utm_source=smm" TargetMode="External"/><Relationship Id="rId167" Type="http://schemas.openxmlformats.org/officeDocument/2006/relationships/hyperlink" Target="https://www.wildberries.ru/catalog/148746035/detail.aspx?targetUrl=SN" TargetMode="External"/><Relationship Id="rId374" Type="http://schemas.openxmlformats.org/officeDocument/2006/relationships/hyperlink" Target="https://ozon.ru/t/zVqgoQM" TargetMode="External"/><Relationship Id="rId581" Type="http://schemas.openxmlformats.org/officeDocument/2006/relationships/hyperlink" Target="https://www.wildberries.ru/catalog/95011011/detail.aspx" TargetMode="External"/><Relationship Id="rId234" Type="http://schemas.openxmlformats.org/officeDocument/2006/relationships/hyperlink" Target="https://www.wildberries.ru/catalog/205064512/detail.aspx?targetUrl=SN" TargetMode="External"/><Relationship Id="rId679" Type="http://schemas.openxmlformats.org/officeDocument/2006/relationships/hyperlink" Target="https://ozon.ru/t/yJ1ZgzG" TargetMode="External"/><Relationship Id="rId886" Type="http://schemas.openxmlformats.org/officeDocument/2006/relationships/hyperlink" Target="https://www.wildberries.ru/catalog/268736004/detail.aspx?size=416080019" TargetMode="External"/><Relationship Id="rId2" Type="http://schemas.openxmlformats.org/officeDocument/2006/relationships/hyperlink" Target="https://www.wildberries.ru/catalog/18219971/detail.aspx" TargetMode="External"/><Relationship Id="rId441" Type="http://schemas.openxmlformats.org/officeDocument/2006/relationships/hyperlink" Target="https://ozon.ru/t/bZylKAo" TargetMode="External"/><Relationship Id="rId539" Type="http://schemas.openxmlformats.org/officeDocument/2006/relationships/hyperlink" Target="https://ozon.ru/t/KMpb2j4" TargetMode="External"/><Relationship Id="rId746" Type="http://schemas.openxmlformats.org/officeDocument/2006/relationships/hyperlink" Target="https://aliexpress.ru/item/1005004739397495.html?spm=a2g2x.detail.similar_rcmd.0.5d2174ad7KvfDT&amp;mixer_rcmd_bucket_id=aerabtestalgoRecommendAbV2_controlRu2&amp;pdp_trigger_item_id=0_1005007551935013&amp;ru_algo_pv_id=38eee0-61b690-c660a9-862426-1726585200&amp;scenario=aerSimilarItemPdpRcmd&amp;sku_id=12000030297909129&amp;traffic_source=recommendation&amp;type_rcmd=core" TargetMode="External"/><Relationship Id="rId1071" Type="http://schemas.openxmlformats.org/officeDocument/2006/relationships/hyperlink" Target="https://www.wildberries.ru/catalog/156563189/detail.aspx" TargetMode="External"/><Relationship Id="rId1169" Type="http://schemas.openxmlformats.org/officeDocument/2006/relationships/hyperlink" Target="https://www.wildberries.ru/catalog/214960980/detail.aspx?size=343025786" TargetMode="External"/><Relationship Id="rId1376" Type="http://schemas.openxmlformats.org/officeDocument/2006/relationships/hyperlink" Target="https://ozon.ru/t/ly15J8P" TargetMode="External"/><Relationship Id="rId301" Type="http://schemas.openxmlformats.org/officeDocument/2006/relationships/hyperlink" Target="https://www.wildberries.ru/catalog/167376677/detail.aspx?targetUrl=SN" TargetMode="External"/><Relationship Id="rId953" Type="http://schemas.openxmlformats.org/officeDocument/2006/relationships/hyperlink" Target="https://ozon.ru/t/ja7GRYZ" TargetMode="External"/><Relationship Id="rId1029" Type="http://schemas.openxmlformats.org/officeDocument/2006/relationships/hyperlink" Target="https://www.wildberries.ru/catalog/212507258/detail.aspx?size=339778470" TargetMode="External"/><Relationship Id="rId1236" Type="http://schemas.openxmlformats.org/officeDocument/2006/relationships/hyperlink" Target="https://ozon.ru/t/dw7gdkm" TargetMode="External"/><Relationship Id="rId82" Type="http://schemas.openxmlformats.org/officeDocument/2006/relationships/hyperlink" Target="https://ozon.ru/t/odkW74y" TargetMode="External"/><Relationship Id="rId606" Type="http://schemas.openxmlformats.org/officeDocument/2006/relationships/hyperlink" Target="https://www.wildberries.ru/catalog/196119918/detail.aspx?targetUrl=MS&amp;size=318430530" TargetMode="External"/><Relationship Id="rId813" Type="http://schemas.openxmlformats.org/officeDocument/2006/relationships/hyperlink" Target="https://wildberries.ru/catalog/173106369/detail.aspx" TargetMode="External"/><Relationship Id="rId1303" Type="http://schemas.openxmlformats.org/officeDocument/2006/relationships/hyperlink" Target="https://www.wildberries.ru/catalog/253471763/detail.aspx?size=395607493" TargetMode="External"/><Relationship Id="rId189" Type="http://schemas.openxmlformats.org/officeDocument/2006/relationships/hyperlink" Target="https://ozon.ru/t/V4qLK0q" TargetMode="External"/><Relationship Id="rId396" Type="http://schemas.openxmlformats.org/officeDocument/2006/relationships/hyperlink" Target="https://wildberries.ru/catalog/192121651/detail.aspx" TargetMode="External"/><Relationship Id="rId256" Type="http://schemas.openxmlformats.org/officeDocument/2006/relationships/hyperlink" Target="https://ozon.ru/t/MVXLky" TargetMode="External"/><Relationship Id="rId463" Type="http://schemas.openxmlformats.org/officeDocument/2006/relationships/hyperlink" Target="https://ozon.ru/t/lG6KWEY" TargetMode="External"/><Relationship Id="rId670" Type="http://schemas.openxmlformats.org/officeDocument/2006/relationships/hyperlink" Target="https://www.wildberries.ru/catalog/150674784/detail.aspx?size=252573364" TargetMode="External"/><Relationship Id="rId1093" Type="http://schemas.openxmlformats.org/officeDocument/2006/relationships/hyperlink" Target="https://www.wildberries.ru/catalog/231560171/detail.aspx?size=365448720" TargetMode="External"/><Relationship Id="rId116" Type="http://schemas.openxmlformats.org/officeDocument/2006/relationships/hyperlink" Target="https://www.wildberries.ru/catalog/139683123/detail.aspx?targetUrl=SN" TargetMode="External"/><Relationship Id="rId323" Type="http://schemas.openxmlformats.org/officeDocument/2006/relationships/hyperlink" Target="https://www.wildberries.ru/catalog/16134611/detail.aspx?targetUrl=SN" TargetMode="External"/><Relationship Id="rId530" Type="http://schemas.openxmlformats.org/officeDocument/2006/relationships/hyperlink" Target="https://ozon.ru/t/Nw5yZW1" TargetMode="External"/><Relationship Id="rId768" Type="http://schemas.openxmlformats.org/officeDocument/2006/relationships/hyperlink" Target="https://ozon.ru/t/Pgk636V" TargetMode="External"/><Relationship Id="rId975" Type="http://schemas.openxmlformats.org/officeDocument/2006/relationships/hyperlink" Target="https://wildberries.ru/catalog/178384657/detail.aspx" TargetMode="External"/><Relationship Id="rId1160" Type="http://schemas.openxmlformats.org/officeDocument/2006/relationships/hyperlink" Target="https://www.wildberries.ru/catalog/246923953/detail.aspx" TargetMode="External"/><Relationship Id="rId628" Type="http://schemas.openxmlformats.org/officeDocument/2006/relationships/hyperlink" Target="https://ozon.ru/t/1MMp9pj" TargetMode="External"/><Relationship Id="rId835" Type="http://schemas.openxmlformats.org/officeDocument/2006/relationships/hyperlink" Target="https://www.wildberries.ru/catalog/159498693/detail.aspx" TargetMode="External"/><Relationship Id="rId1258" Type="http://schemas.openxmlformats.org/officeDocument/2006/relationships/hyperlink" Target="https://www.wildberries.ru/catalog/112109965/detail.aspx" TargetMode="External"/><Relationship Id="rId1020" Type="http://schemas.openxmlformats.org/officeDocument/2006/relationships/hyperlink" Target="https://wildberries.ru/catalog/165209789/detail.aspx" TargetMode="External"/><Relationship Id="rId1118" Type="http://schemas.openxmlformats.org/officeDocument/2006/relationships/hyperlink" Target="https://ozon.ru/t/J9oe1Pb" TargetMode="External"/><Relationship Id="rId1325" Type="http://schemas.openxmlformats.org/officeDocument/2006/relationships/hyperlink" Target="https://ozon.ru/t/LZn9AqJ" TargetMode="External"/><Relationship Id="rId902" Type="http://schemas.openxmlformats.org/officeDocument/2006/relationships/hyperlink" Target="https://ozon.ru/t/x10ymme" TargetMode="External"/><Relationship Id="rId31" Type="http://schemas.openxmlformats.org/officeDocument/2006/relationships/hyperlink" Target="https://ozon.ru/t/qARVVGg" TargetMode="External"/><Relationship Id="rId180" Type="http://schemas.openxmlformats.org/officeDocument/2006/relationships/hyperlink" Target="https://www.wildberries.ru/catalog/64964223/detail.aspx?targetUrl=SN" TargetMode="External"/><Relationship Id="rId278" Type="http://schemas.openxmlformats.org/officeDocument/2006/relationships/hyperlink" Target="https://zyorna.ru/catalog/item/est-sila-blagodatnaya-107242" TargetMode="External"/><Relationship Id="rId485" Type="http://schemas.openxmlformats.org/officeDocument/2006/relationships/hyperlink" Target="https://www.wildberries.ru/catalog/212554794/detail.aspx?size=339843529" TargetMode="External"/><Relationship Id="rId692" Type="http://schemas.openxmlformats.org/officeDocument/2006/relationships/hyperlink" Target="https://www.wildberries.ru/catalog/241245890/detail.aspx" TargetMode="External"/><Relationship Id="rId138" Type="http://schemas.openxmlformats.org/officeDocument/2006/relationships/hyperlink" Target="https://ozon.ru/t/26WM0Na" TargetMode="External"/><Relationship Id="rId345" Type="http://schemas.openxmlformats.org/officeDocument/2006/relationships/hyperlink" Target="https://ozon.ru/t/a4XPbAZ" TargetMode="External"/><Relationship Id="rId552" Type="http://schemas.openxmlformats.org/officeDocument/2006/relationships/hyperlink" Target="https://wildberries.ru/catalog/239401277/detail.aspx" TargetMode="External"/><Relationship Id="rId997" Type="http://schemas.openxmlformats.org/officeDocument/2006/relationships/hyperlink" Target="https://www.wildberries.ru/catalog/254137512/detail.aspx" TargetMode="External"/><Relationship Id="rId1182" Type="http://schemas.openxmlformats.org/officeDocument/2006/relationships/hyperlink" Target="https://ozon.ru/t/lby9kZZ" TargetMode="External"/><Relationship Id="rId205" Type="http://schemas.openxmlformats.org/officeDocument/2006/relationships/hyperlink" Target="https://www.wildberries.ru/catalog/161075080/detail.aspx?targetUrl=SN" TargetMode="External"/><Relationship Id="rId412" Type="http://schemas.openxmlformats.org/officeDocument/2006/relationships/hyperlink" Target="https://www.wildberries.ru/catalog/229809876/detail.aspx?targetUrl=EX" TargetMode="External"/><Relationship Id="rId857" Type="http://schemas.openxmlformats.org/officeDocument/2006/relationships/hyperlink" Target="https://ozon.ru/t/RVv2oOY" TargetMode="External"/><Relationship Id="rId1042" Type="http://schemas.openxmlformats.org/officeDocument/2006/relationships/hyperlink" Target="https://www.wildberries.ru/catalog/114483711/detail.aspx" TargetMode="External"/><Relationship Id="rId717" Type="http://schemas.openxmlformats.org/officeDocument/2006/relationships/hyperlink" Target="https://wildberries.ru/catalog/207075737/detail.aspx" TargetMode="External"/><Relationship Id="rId924" Type="http://schemas.openxmlformats.org/officeDocument/2006/relationships/hyperlink" Target="https://wildberries.ru/catalog/221532135/detail.aspx" TargetMode="External"/><Relationship Id="rId1347" Type="http://schemas.openxmlformats.org/officeDocument/2006/relationships/hyperlink" Target="https://wildberries.ru/catalog/273425810/detail.aspx" TargetMode="External"/><Relationship Id="rId53" Type="http://schemas.openxmlformats.org/officeDocument/2006/relationships/hyperlink" Target="https://ozon.ru/t/DlGZ0j4" TargetMode="External"/><Relationship Id="rId1207" Type="http://schemas.openxmlformats.org/officeDocument/2006/relationships/hyperlink" Target="https://www.wildberries.ru/catalog/174889631/detail.aspx?size=289903515" TargetMode="External"/><Relationship Id="rId367" Type="http://schemas.openxmlformats.org/officeDocument/2006/relationships/hyperlink" Target="https://www.avito.ru/krasnodar/knigi_i_zhurnaly/bukvar_1994g_3876101570" TargetMode="External"/><Relationship Id="rId574" Type="http://schemas.openxmlformats.org/officeDocument/2006/relationships/hyperlink" Target="https://www.wildberries.ru/catalog/7369116/detail.aspx" TargetMode="External"/><Relationship Id="rId227" Type="http://schemas.openxmlformats.org/officeDocument/2006/relationships/hyperlink" Target="https://www.wildberries.ru/catalog/215731927/detail.aspx?targetUrl=SN" TargetMode="External"/><Relationship Id="rId781" Type="http://schemas.openxmlformats.org/officeDocument/2006/relationships/hyperlink" Target="https://sretenie.com/book/element.php?ID=104884" TargetMode="External"/><Relationship Id="rId879" Type="http://schemas.openxmlformats.org/officeDocument/2006/relationships/hyperlink" Target="https://wildberries.ru/catalog/42679029/detail.aspx" TargetMode="External"/><Relationship Id="rId434" Type="http://schemas.openxmlformats.org/officeDocument/2006/relationships/hyperlink" Target="https://wildberries.ru/catalog/144663190/detail.aspx" TargetMode="External"/><Relationship Id="rId641" Type="http://schemas.openxmlformats.org/officeDocument/2006/relationships/hyperlink" Target="https://wildberries.ru/catalog/87562398/detail.aspx" TargetMode="External"/><Relationship Id="rId739" Type="http://schemas.openxmlformats.org/officeDocument/2006/relationships/hyperlink" Target="https://www.wildberries.ru/catalog/141004904/detail.aspx?size=238937715" TargetMode="External"/><Relationship Id="rId1064" Type="http://schemas.openxmlformats.org/officeDocument/2006/relationships/hyperlink" Target="https://ozon.ru/t/VMBpOoW" TargetMode="External"/><Relationship Id="rId1271" Type="http://schemas.openxmlformats.org/officeDocument/2006/relationships/hyperlink" Target="https://www.ozon.ru/product/tryapka-dlya-pola-iz-mikrofibry-superchist-50h60-sm-2sht-zelenaya-306369328/?asb2=QQI-vGzUM3ynoayld4w6s9Q1I_6pm18WkEH7n5iLnYyVClG4cvqYYosO2YoQJyNBUxX2_0S_xpCd3B9ZeFLBWNUXokoPJYq6Hnrac155lSNWszp8HeP3YMAel-2U-s7WD7KYd-kZeqPcOYHwrfSvjBPDp4nYFs2NZpwe1WtEpEc&amp;from_sku=306369328&amp;oos_search=false" TargetMode="External"/><Relationship Id="rId1369" Type="http://schemas.openxmlformats.org/officeDocument/2006/relationships/hyperlink" Target="https://wildberries.ru/catalog/178889734/detail.aspx" TargetMode="External"/><Relationship Id="rId501" Type="http://schemas.openxmlformats.org/officeDocument/2006/relationships/hyperlink" Target="https://ozon.ru/t/R3z3JWL" TargetMode="External"/><Relationship Id="rId946" Type="http://schemas.openxmlformats.org/officeDocument/2006/relationships/hyperlink" Target="https://www.arfacar.ru/kryshki_srs_airbag/krishka-srs-airbag-nakladka-podushki-bezopasnosti-v-rul-honda-civic-10-amerika.html" TargetMode="External"/><Relationship Id="rId1131" Type="http://schemas.openxmlformats.org/officeDocument/2006/relationships/hyperlink" Target="https://ozon.ru/t/OZBl2Wy" TargetMode="External"/><Relationship Id="rId1229" Type="http://schemas.openxmlformats.org/officeDocument/2006/relationships/hyperlink" Target="https://wildberries.ru/catalog/168523504/detail.aspx" TargetMode="External"/><Relationship Id="rId75" Type="http://schemas.openxmlformats.org/officeDocument/2006/relationships/hyperlink" Target="https://www.wildberries.ru/catalog/160292534/detail.aspx?size=266487516" TargetMode="External"/><Relationship Id="rId806" Type="http://schemas.openxmlformats.org/officeDocument/2006/relationships/hyperlink" Target="https://wildberries.ru/catalog/173659410/detail.aspx" TargetMode="External"/><Relationship Id="rId291" Type="http://schemas.openxmlformats.org/officeDocument/2006/relationships/hyperlink" Target="https://www.wildberries.ru/catalog/178151775/detail.aspx?targetUrl=SN" TargetMode="External"/><Relationship Id="rId151" Type="http://schemas.openxmlformats.org/officeDocument/2006/relationships/hyperlink" Target="https://www.wildberries.ru/catalog/177348132/detail.aspx?targetUrl=SN" TargetMode="External"/><Relationship Id="rId389" Type="http://schemas.openxmlformats.org/officeDocument/2006/relationships/hyperlink" Target="https://ozon.ru/t/o1Vo3aE" TargetMode="External"/><Relationship Id="rId596" Type="http://schemas.openxmlformats.org/officeDocument/2006/relationships/hyperlink" Target="https://www.wildberries.ru/catalog/197654275/detail.aspx" TargetMode="External"/><Relationship Id="rId249" Type="http://schemas.openxmlformats.org/officeDocument/2006/relationships/hyperlink" Target="https://ozon.ru/t/jPE21G" TargetMode="External"/><Relationship Id="rId456" Type="http://schemas.openxmlformats.org/officeDocument/2006/relationships/hyperlink" Target="https://wildberries.ru/catalog/236023277/detail.aspx" TargetMode="External"/><Relationship Id="rId663" Type="http://schemas.openxmlformats.org/officeDocument/2006/relationships/hyperlink" Target="https://wildberries.ru/catalog/145115486/detail.aspx" TargetMode="External"/><Relationship Id="rId870" Type="http://schemas.openxmlformats.org/officeDocument/2006/relationships/hyperlink" Target="https://wildberries.ru/catalog/213566096/detail.aspx" TargetMode="External"/><Relationship Id="rId1086" Type="http://schemas.openxmlformats.org/officeDocument/2006/relationships/hyperlink" Target="https://www.wildberries.ru/catalog/149832349/detail.aspx" TargetMode="External"/><Relationship Id="rId1293" Type="http://schemas.openxmlformats.org/officeDocument/2006/relationships/hyperlink" Target="https://ozon.ru/t/vwRg79y" TargetMode="External"/><Relationship Id="rId109" Type="http://schemas.openxmlformats.org/officeDocument/2006/relationships/hyperlink" Target="https://www.wildberries.ru/catalog/139621156/detail.aspx" TargetMode="External"/><Relationship Id="rId316" Type="http://schemas.openxmlformats.org/officeDocument/2006/relationships/hyperlink" Target="https://www.detmir.ru/product/index/id/6255561/?variant_id=90477800" TargetMode="External"/><Relationship Id="rId523" Type="http://schemas.openxmlformats.org/officeDocument/2006/relationships/hyperlink" Target="https://ozon.ru/t/516prne" TargetMode="External"/><Relationship Id="rId968" Type="http://schemas.openxmlformats.org/officeDocument/2006/relationships/hyperlink" Target="https://wildberries.ru/catalog/139669610/detail.aspx" TargetMode="External"/><Relationship Id="rId1153" Type="http://schemas.openxmlformats.org/officeDocument/2006/relationships/hyperlink" Target="https://wildberries.ru/catalog/172995673/detail.aspx" TargetMode="External"/><Relationship Id="rId97" Type="http://schemas.openxmlformats.org/officeDocument/2006/relationships/hyperlink" Target="https://ozon.ru/t/DlKnQJw" TargetMode="External"/><Relationship Id="rId730" Type="http://schemas.openxmlformats.org/officeDocument/2006/relationships/hyperlink" Target="https://www.wildberries.ru/catalog/229433452/detail.aspx?size=362532886" TargetMode="External"/><Relationship Id="rId828" Type="http://schemas.openxmlformats.org/officeDocument/2006/relationships/hyperlink" Target="https://www.wildberries.ru/catalog/254142841/detail.aspx" TargetMode="External"/><Relationship Id="rId1013" Type="http://schemas.openxmlformats.org/officeDocument/2006/relationships/hyperlink" Target="https://ozon.ru/t/7R4xVxd" TargetMode="External"/><Relationship Id="rId1360" Type="http://schemas.openxmlformats.org/officeDocument/2006/relationships/hyperlink" Target="https://www.wildberries.ru/catalog/243096336/detail.aspx?size=381561860" TargetMode="External"/><Relationship Id="rId1220" Type="http://schemas.openxmlformats.org/officeDocument/2006/relationships/hyperlink" Target="https://www.wildberries.ru/catalog/21375006/detail.aspx" TargetMode="External"/><Relationship Id="rId1318" Type="http://schemas.openxmlformats.org/officeDocument/2006/relationships/hyperlink" Target="https://ozon.ru/t/zkXDDnx" TargetMode="External"/><Relationship Id="rId24" Type="http://schemas.openxmlformats.org/officeDocument/2006/relationships/hyperlink" Target="https://www.wildberries.ru/catalog/29669199/detail.aspx?size=66038573" TargetMode="External"/><Relationship Id="rId173" Type="http://schemas.openxmlformats.org/officeDocument/2006/relationships/hyperlink" Target="https://ozon.ru/t/Bl08W1V" TargetMode="External"/><Relationship Id="rId380" Type="http://schemas.openxmlformats.org/officeDocument/2006/relationships/hyperlink" Target="https://wildberries.ru/catalog/154862390/detail.aspx" TargetMode="External"/><Relationship Id="rId240" Type="http://schemas.openxmlformats.org/officeDocument/2006/relationships/hyperlink" Target="https://www.wildberries.ru/catalog/133665746/detail.aspx?targetUrl=SN" TargetMode="External"/><Relationship Id="rId478" Type="http://schemas.openxmlformats.org/officeDocument/2006/relationships/hyperlink" Target="https://ozon.ru/t/YYPwkKo" TargetMode="External"/><Relationship Id="rId685" Type="http://schemas.openxmlformats.org/officeDocument/2006/relationships/hyperlink" Target="https://www.wildberries.ru/catalog/11022145/detail.aspx?targetUrl=SN" TargetMode="External"/><Relationship Id="rId892" Type="http://schemas.openxmlformats.org/officeDocument/2006/relationships/hyperlink" Target="https://ozon.ru/t/5jQwGAg" TargetMode="External"/><Relationship Id="rId100" Type="http://schemas.openxmlformats.org/officeDocument/2006/relationships/hyperlink" Target="https://www.wildberries.ru/catalog/9735527/detail.aspx" TargetMode="External"/><Relationship Id="rId338" Type="http://schemas.openxmlformats.org/officeDocument/2006/relationships/hyperlink" Target="https://ozon.ru/t/oAW6g4E" TargetMode="External"/><Relationship Id="rId545" Type="http://schemas.openxmlformats.org/officeDocument/2006/relationships/hyperlink" Target="https://wildberries.ru/catalog/172019903/detail.aspx" TargetMode="External"/><Relationship Id="rId752" Type="http://schemas.openxmlformats.org/officeDocument/2006/relationships/hyperlink" Target="https://wildberries.ru/catalog/199754825/detail.aspx" TargetMode="External"/><Relationship Id="rId1175" Type="http://schemas.openxmlformats.org/officeDocument/2006/relationships/hyperlink" Target="https://ozon.ru/t/3lWKXLz" TargetMode="External"/><Relationship Id="rId1382" Type="http://schemas.openxmlformats.org/officeDocument/2006/relationships/printerSettings" Target="../printerSettings/printerSettings3.bin"/><Relationship Id="rId405" Type="http://schemas.openxmlformats.org/officeDocument/2006/relationships/hyperlink" Target="https://wildberries.ru/catalog/71733821/detail.aspx" TargetMode="External"/><Relationship Id="rId612" Type="http://schemas.openxmlformats.org/officeDocument/2006/relationships/hyperlink" Target="https://www.avito.ru/moskva/knigi_i_zhurnaly/entsiklopediya_dlya_malenkih_vunderkindov_2881476906" TargetMode="External"/><Relationship Id="rId1035" Type="http://schemas.openxmlformats.org/officeDocument/2006/relationships/hyperlink" Target="https://ozon.ru/t/25qGQBe" TargetMode="External"/><Relationship Id="rId1242" Type="http://schemas.openxmlformats.org/officeDocument/2006/relationships/hyperlink" Target="https://ozon.ru/t/Edmvd8M" TargetMode="External"/><Relationship Id="rId917" Type="http://schemas.openxmlformats.org/officeDocument/2006/relationships/hyperlink" Target="https://www.wildberries.ru/catalog/15646670/detail.aspx?size=45269377" TargetMode="External"/><Relationship Id="rId1102" Type="http://schemas.openxmlformats.org/officeDocument/2006/relationships/hyperlink" Target="https://ozon.ru/t/d5rOmKz" TargetMode="External"/><Relationship Id="rId46" Type="http://schemas.openxmlformats.org/officeDocument/2006/relationships/hyperlink" Target="https://www.wildberries.ru/catalog/110382766/detail.aspx?targetUrl=S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68B1-1D36-452E-8E3F-9BDDFD785E2E}">
  <sheetPr codeName="Лист1"/>
  <dimension ref="A1:F221"/>
  <sheetViews>
    <sheetView zoomScaleNormal="100" workbookViewId="0">
      <pane ySplit="1" topLeftCell="A131" activePane="bottomLeft" state="frozen"/>
      <selection pane="bottomLeft" activeCell="D215" sqref="D215"/>
    </sheetView>
  </sheetViews>
  <sheetFormatPr defaultRowHeight="15" x14ac:dyDescent="0.25"/>
  <cols>
    <col min="1" max="1" width="27.42578125" bestFit="1" customWidth="1"/>
    <col min="2" max="2" width="9.5703125" bestFit="1" customWidth="1"/>
    <col min="3" max="3" width="26.5703125" bestFit="1" customWidth="1"/>
    <col min="4" max="4" width="59.85546875" bestFit="1" customWidth="1"/>
    <col min="5" max="5" width="15.28515625" bestFit="1" customWidth="1"/>
    <col min="6" max="6" width="10.140625" bestFit="1" customWidth="1"/>
  </cols>
  <sheetData>
    <row r="1" spans="1:6" s="2" customFormat="1" x14ac:dyDescent="0.25">
      <c r="A1" t="s">
        <v>0</v>
      </c>
      <c r="B1" t="s">
        <v>2172</v>
      </c>
      <c r="C1" t="s">
        <v>1</v>
      </c>
      <c r="D1" t="s">
        <v>2</v>
      </c>
      <c r="E1" t="s">
        <v>2174</v>
      </c>
      <c r="F1" t="s">
        <v>2173</v>
      </c>
    </row>
    <row r="2" spans="1:6" ht="15" customHeight="1" x14ac:dyDescent="0.25">
      <c r="A2" t="s">
        <v>4</v>
      </c>
      <c r="C2" t="s">
        <v>5</v>
      </c>
      <c r="D2" t="s">
        <v>6</v>
      </c>
      <c r="F2">
        <v>15</v>
      </c>
    </row>
    <row r="3" spans="1:6" x14ac:dyDescent="0.25">
      <c r="A3" t="s">
        <v>7</v>
      </c>
      <c r="C3" t="s">
        <v>8</v>
      </c>
      <c r="D3" t="s">
        <v>9</v>
      </c>
      <c r="E3" t="s">
        <v>10</v>
      </c>
      <c r="F3">
        <v>15</v>
      </c>
    </row>
    <row r="4" spans="1:6" x14ac:dyDescent="0.25">
      <c r="A4" t="s">
        <v>11</v>
      </c>
      <c r="C4" t="s">
        <v>12</v>
      </c>
      <c r="D4" t="s">
        <v>9</v>
      </c>
      <c r="E4" t="s">
        <v>10</v>
      </c>
      <c r="F4">
        <v>15</v>
      </c>
    </row>
    <row r="5" spans="1:6" x14ac:dyDescent="0.25">
      <c r="A5" t="s">
        <v>13</v>
      </c>
      <c r="C5" t="s">
        <v>14</v>
      </c>
      <c r="D5" t="s">
        <v>15</v>
      </c>
      <c r="E5" t="s">
        <v>16</v>
      </c>
      <c r="F5">
        <v>15</v>
      </c>
    </row>
    <row r="6" spans="1:6" x14ac:dyDescent="0.25">
      <c r="A6" t="s">
        <v>17</v>
      </c>
      <c r="C6" t="s">
        <v>18</v>
      </c>
      <c r="D6" t="s">
        <v>19</v>
      </c>
      <c r="F6">
        <v>15</v>
      </c>
    </row>
    <row r="7" spans="1:6" x14ac:dyDescent="0.25">
      <c r="A7" t="s">
        <v>20</v>
      </c>
      <c r="C7" t="s">
        <v>21</v>
      </c>
      <c r="D7" t="s">
        <v>22</v>
      </c>
      <c r="E7" t="s">
        <v>23</v>
      </c>
      <c r="F7">
        <v>15</v>
      </c>
    </row>
    <row r="8" spans="1:6" x14ac:dyDescent="0.25">
      <c r="A8" t="s">
        <v>24</v>
      </c>
      <c r="C8" t="s">
        <v>25</v>
      </c>
      <c r="D8" t="s">
        <v>26</v>
      </c>
      <c r="F8">
        <v>15</v>
      </c>
    </row>
    <row r="9" spans="1:6" x14ac:dyDescent="0.25">
      <c r="A9" t="s">
        <v>27</v>
      </c>
      <c r="C9" t="s">
        <v>28</v>
      </c>
      <c r="D9" t="s">
        <v>29</v>
      </c>
      <c r="F9">
        <v>15</v>
      </c>
    </row>
    <row r="10" spans="1:6" x14ac:dyDescent="0.25">
      <c r="A10" t="s">
        <v>30</v>
      </c>
      <c r="C10" t="s">
        <v>31</v>
      </c>
      <c r="F10">
        <v>15</v>
      </c>
    </row>
    <row r="11" spans="1:6" x14ac:dyDescent="0.25">
      <c r="A11" t="s">
        <v>33</v>
      </c>
      <c r="C11" t="s">
        <v>34</v>
      </c>
      <c r="D11" t="s">
        <v>1848</v>
      </c>
      <c r="E11" t="s">
        <v>35</v>
      </c>
      <c r="F11">
        <v>15</v>
      </c>
    </row>
    <row r="12" spans="1:6" x14ac:dyDescent="0.25">
      <c r="A12" t="s">
        <v>36</v>
      </c>
      <c r="C12" t="s">
        <v>37</v>
      </c>
      <c r="D12" t="s">
        <v>38</v>
      </c>
      <c r="F12">
        <v>15</v>
      </c>
    </row>
    <row r="13" spans="1:6" x14ac:dyDescent="0.25">
      <c r="A13" t="s">
        <v>39</v>
      </c>
      <c r="C13" t="s">
        <v>40</v>
      </c>
      <c r="D13" t="s">
        <v>41</v>
      </c>
      <c r="E13" t="s">
        <v>42</v>
      </c>
      <c r="F13">
        <v>15</v>
      </c>
    </row>
    <row r="14" spans="1:6" x14ac:dyDescent="0.25">
      <c r="A14" t="s">
        <v>43</v>
      </c>
      <c r="C14" t="s">
        <v>44</v>
      </c>
      <c r="D14" t="s">
        <v>45</v>
      </c>
      <c r="F14">
        <v>15</v>
      </c>
    </row>
    <row r="15" spans="1:6" x14ac:dyDescent="0.25">
      <c r="A15" t="s">
        <v>46</v>
      </c>
      <c r="C15" t="s">
        <v>47</v>
      </c>
      <c r="D15" t="s">
        <v>48</v>
      </c>
      <c r="F15">
        <v>15</v>
      </c>
    </row>
    <row r="16" spans="1:6" x14ac:dyDescent="0.25">
      <c r="A16" t="s">
        <v>49</v>
      </c>
      <c r="C16" t="s">
        <v>50</v>
      </c>
      <c r="D16" t="s">
        <v>51</v>
      </c>
      <c r="F16">
        <v>15</v>
      </c>
    </row>
    <row r="17" spans="1:6" x14ac:dyDescent="0.25">
      <c r="A17" t="s">
        <v>52</v>
      </c>
      <c r="C17" t="s">
        <v>53</v>
      </c>
      <c r="D17" t="s">
        <v>45</v>
      </c>
      <c r="E17" t="s">
        <v>54</v>
      </c>
      <c r="F17">
        <v>15</v>
      </c>
    </row>
    <row r="18" spans="1:6" x14ac:dyDescent="0.25">
      <c r="A18" t="s">
        <v>55</v>
      </c>
      <c r="C18" t="s">
        <v>56</v>
      </c>
      <c r="D18" t="s">
        <v>57</v>
      </c>
      <c r="F18">
        <v>15</v>
      </c>
    </row>
    <row r="19" spans="1:6" x14ac:dyDescent="0.25">
      <c r="A19" t="s">
        <v>58</v>
      </c>
      <c r="C19" t="s">
        <v>59</v>
      </c>
      <c r="D19" t="s">
        <v>60</v>
      </c>
      <c r="F19">
        <v>15</v>
      </c>
    </row>
    <row r="20" spans="1:6" x14ac:dyDescent="0.25">
      <c r="A20" t="s">
        <v>61</v>
      </c>
      <c r="C20" t="s">
        <v>62</v>
      </c>
      <c r="D20" t="s">
        <v>63</v>
      </c>
      <c r="F20">
        <v>15</v>
      </c>
    </row>
    <row r="21" spans="1:6" x14ac:dyDescent="0.25">
      <c r="A21" t="s">
        <v>64</v>
      </c>
      <c r="C21" t="s">
        <v>65</v>
      </c>
      <c r="D21" t="s">
        <v>66</v>
      </c>
      <c r="F21">
        <v>15</v>
      </c>
    </row>
    <row r="22" spans="1:6" x14ac:dyDescent="0.25">
      <c r="A22" t="s">
        <v>67</v>
      </c>
      <c r="C22" t="s">
        <v>68</v>
      </c>
      <c r="D22" t="s">
        <v>69</v>
      </c>
      <c r="E22" t="s">
        <v>70</v>
      </c>
      <c r="F22">
        <v>15</v>
      </c>
    </row>
    <row r="23" spans="1:6" x14ac:dyDescent="0.25">
      <c r="A23" t="s">
        <v>71</v>
      </c>
      <c r="C23" t="s">
        <v>72</v>
      </c>
      <c r="D23" t="s">
        <v>73</v>
      </c>
      <c r="F23">
        <v>15</v>
      </c>
    </row>
    <row r="24" spans="1:6" x14ac:dyDescent="0.25">
      <c r="A24" t="s">
        <v>74</v>
      </c>
      <c r="C24" t="s">
        <v>75</v>
      </c>
      <c r="D24" t="s">
        <v>76</v>
      </c>
      <c r="F24">
        <v>15</v>
      </c>
    </row>
    <row r="25" spans="1:6" x14ac:dyDescent="0.25">
      <c r="A25" t="s">
        <v>77</v>
      </c>
      <c r="C25" t="s">
        <v>75</v>
      </c>
      <c r="D25" t="s">
        <v>78</v>
      </c>
      <c r="F25">
        <v>15</v>
      </c>
    </row>
    <row r="26" spans="1:6" x14ac:dyDescent="0.25">
      <c r="A26" t="s">
        <v>79</v>
      </c>
      <c r="C26" t="s">
        <v>80</v>
      </c>
      <c r="D26" t="s">
        <v>81</v>
      </c>
      <c r="F26">
        <v>15</v>
      </c>
    </row>
    <row r="27" spans="1:6" x14ac:dyDescent="0.25">
      <c r="A27" t="s">
        <v>83</v>
      </c>
      <c r="C27" t="s">
        <v>84</v>
      </c>
      <c r="D27" t="s">
        <v>45</v>
      </c>
      <c r="F27">
        <v>15</v>
      </c>
    </row>
    <row r="28" spans="1:6" x14ac:dyDescent="0.25">
      <c r="A28" t="s">
        <v>85</v>
      </c>
      <c r="C28" t="s">
        <v>86</v>
      </c>
      <c r="D28" t="s">
        <v>87</v>
      </c>
      <c r="F28">
        <v>15</v>
      </c>
    </row>
    <row r="29" spans="1:6" x14ac:dyDescent="0.25">
      <c r="A29" t="s">
        <v>88</v>
      </c>
      <c r="C29" t="s">
        <v>89</v>
      </c>
      <c r="D29" t="s">
        <v>90</v>
      </c>
      <c r="F29">
        <v>15</v>
      </c>
    </row>
    <row r="30" spans="1:6" x14ac:dyDescent="0.25">
      <c r="A30" t="s">
        <v>1421</v>
      </c>
      <c r="C30" t="s">
        <v>91</v>
      </c>
      <c r="D30" t="s">
        <v>51</v>
      </c>
      <c r="E30" t="s">
        <v>92</v>
      </c>
      <c r="F30">
        <v>15</v>
      </c>
    </row>
    <row r="31" spans="1:6" x14ac:dyDescent="0.25">
      <c r="A31" t="s">
        <v>93</v>
      </c>
      <c r="C31" t="s">
        <v>94</v>
      </c>
      <c r="D31" t="s">
        <v>95</v>
      </c>
      <c r="F31">
        <v>15</v>
      </c>
    </row>
    <row r="32" spans="1:6" x14ac:dyDescent="0.25">
      <c r="A32" t="s">
        <v>96</v>
      </c>
      <c r="C32" t="s">
        <v>97</v>
      </c>
      <c r="D32" t="s">
        <v>227</v>
      </c>
      <c r="E32" t="s">
        <v>1432</v>
      </c>
      <c r="F32">
        <v>10</v>
      </c>
    </row>
    <row r="33" spans="1:6" x14ac:dyDescent="0.25">
      <c r="A33" t="s">
        <v>98</v>
      </c>
      <c r="C33" t="s">
        <v>99</v>
      </c>
      <c r="D33" t="s">
        <v>100</v>
      </c>
      <c r="F33">
        <v>10</v>
      </c>
    </row>
    <row r="34" spans="1:6" x14ac:dyDescent="0.25">
      <c r="A34" t="s">
        <v>101</v>
      </c>
      <c r="C34" t="s">
        <v>18</v>
      </c>
      <c r="D34" t="s">
        <v>102</v>
      </c>
      <c r="F34">
        <v>15</v>
      </c>
    </row>
    <row r="35" spans="1:6" x14ac:dyDescent="0.25">
      <c r="A35" t="s">
        <v>103</v>
      </c>
      <c r="C35" t="s">
        <v>104</v>
      </c>
      <c r="D35" t="s">
        <v>105</v>
      </c>
      <c r="E35" t="s">
        <v>106</v>
      </c>
      <c r="F35">
        <v>10</v>
      </c>
    </row>
    <row r="36" spans="1:6" x14ac:dyDescent="0.25">
      <c r="A36" t="s">
        <v>107</v>
      </c>
      <c r="C36" t="s">
        <v>108</v>
      </c>
      <c r="D36" t="s">
        <v>109</v>
      </c>
      <c r="E36" t="s">
        <v>110</v>
      </c>
      <c r="F36">
        <v>15</v>
      </c>
    </row>
    <row r="37" spans="1:6" x14ac:dyDescent="0.25">
      <c r="A37" t="s">
        <v>111</v>
      </c>
      <c r="C37" t="s">
        <v>112</v>
      </c>
      <c r="D37" t="s">
        <v>113</v>
      </c>
      <c r="E37" t="s">
        <v>114</v>
      </c>
      <c r="F37">
        <v>15</v>
      </c>
    </row>
    <row r="38" spans="1:6" x14ac:dyDescent="0.25">
      <c r="A38" t="s">
        <v>115</v>
      </c>
      <c r="C38" t="s">
        <v>116</v>
      </c>
      <c r="D38" t="s">
        <v>117</v>
      </c>
      <c r="E38" t="s">
        <v>118</v>
      </c>
      <c r="F38">
        <v>15</v>
      </c>
    </row>
    <row r="39" spans="1:6" x14ac:dyDescent="0.25">
      <c r="A39" t="s">
        <v>119</v>
      </c>
      <c r="C39" t="s">
        <v>120</v>
      </c>
      <c r="D39" t="s">
        <v>121</v>
      </c>
      <c r="F39">
        <v>10</v>
      </c>
    </row>
    <row r="40" spans="1:6" x14ac:dyDescent="0.25">
      <c r="A40" t="s">
        <v>122</v>
      </c>
      <c r="C40" t="s">
        <v>123</v>
      </c>
      <c r="D40" t="s">
        <v>124</v>
      </c>
      <c r="E40" t="s">
        <v>125</v>
      </c>
      <c r="F40">
        <v>15</v>
      </c>
    </row>
    <row r="41" spans="1:6" x14ac:dyDescent="0.25">
      <c r="A41" t="s">
        <v>126</v>
      </c>
      <c r="C41" t="s">
        <v>123</v>
      </c>
      <c r="D41" t="s">
        <v>127</v>
      </c>
      <c r="E41" t="s">
        <v>128</v>
      </c>
      <c r="F41">
        <v>15</v>
      </c>
    </row>
    <row r="42" spans="1:6" x14ac:dyDescent="0.25">
      <c r="A42" t="s">
        <v>129</v>
      </c>
      <c r="C42" t="s">
        <v>130</v>
      </c>
      <c r="D42" t="s">
        <v>131</v>
      </c>
      <c r="F42">
        <v>15</v>
      </c>
    </row>
    <row r="43" spans="1:6" x14ac:dyDescent="0.25">
      <c r="A43" t="s">
        <v>132</v>
      </c>
      <c r="C43" t="s">
        <v>133</v>
      </c>
      <c r="D43" t="s">
        <v>134</v>
      </c>
      <c r="F43">
        <v>15</v>
      </c>
    </row>
    <row r="44" spans="1:6" x14ac:dyDescent="0.25">
      <c r="A44" t="s">
        <v>135</v>
      </c>
      <c r="C44" t="s">
        <v>31</v>
      </c>
      <c r="F44">
        <v>15</v>
      </c>
    </row>
    <row r="45" spans="1:6" x14ac:dyDescent="0.25">
      <c r="A45" t="s">
        <v>136</v>
      </c>
      <c r="C45" t="s">
        <v>137</v>
      </c>
      <c r="D45" t="s">
        <v>138</v>
      </c>
      <c r="F45">
        <v>15</v>
      </c>
    </row>
    <row r="46" spans="1:6" x14ac:dyDescent="0.25">
      <c r="A46" t="s">
        <v>139</v>
      </c>
      <c r="C46" t="s">
        <v>140</v>
      </c>
      <c r="D46" t="s">
        <v>141</v>
      </c>
      <c r="E46" t="s">
        <v>142</v>
      </c>
      <c r="F46">
        <v>15</v>
      </c>
    </row>
    <row r="47" spans="1:6" x14ac:dyDescent="0.25">
      <c r="A47" t="s">
        <v>143</v>
      </c>
      <c r="C47" t="s">
        <v>144</v>
      </c>
      <c r="D47" t="s">
        <v>145</v>
      </c>
      <c r="F47">
        <v>15</v>
      </c>
    </row>
    <row r="48" spans="1:6" x14ac:dyDescent="0.25">
      <c r="A48" t="s">
        <v>146</v>
      </c>
      <c r="C48" t="s">
        <v>147</v>
      </c>
      <c r="D48" t="s">
        <v>95</v>
      </c>
      <c r="F48">
        <v>15</v>
      </c>
    </row>
    <row r="49" spans="1:6" x14ac:dyDescent="0.25">
      <c r="A49" t="s">
        <v>148</v>
      </c>
      <c r="C49" t="s">
        <v>149</v>
      </c>
      <c r="D49" t="s">
        <v>150</v>
      </c>
      <c r="F49">
        <v>15</v>
      </c>
    </row>
    <row r="50" spans="1:6" x14ac:dyDescent="0.25">
      <c r="A50" t="s">
        <v>151</v>
      </c>
      <c r="C50" t="s">
        <v>152</v>
      </c>
      <c r="D50" t="s">
        <v>31</v>
      </c>
      <c r="F50">
        <v>15</v>
      </c>
    </row>
    <row r="51" spans="1:6" x14ac:dyDescent="0.25">
      <c r="A51" t="s">
        <v>153</v>
      </c>
      <c r="C51" t="s">
        <v>75</v>
      </c>
      <c r="D51" t="s">
        <v>154</v>
      </c>
      <c r="F51">
        <v>15</v>
      </c>
    </row>
    <row r="52" spans="1:6" x14ac:dyDescent="0.25">
      <c r="A52" t="s">
        <v>155</v>
      </c>
      <c r="C52" t="s">
        <v>156</v>
      </c>
      <c r="D52" t="s">
        <v>157</v>
      </c>
      <c r="F52">
        <v>15</v>
      </c>
    </row>
    <row r="53" spans="1:6" x14ac:dyDescent="0.25">
      <c r="A53" t="s">
        <v>158</v>
      </c>
      <c r="C53" t="s">
        <v>159</v>
      </c>
      <c r="D53" t="s">
        <v>160</v>
      </c>
      <c r="F53">
        <v>15</v>
      </c>
    </row>
    <row r="54" spans="1:6" x14ac:dyDescent="0.25">
      <c r="A54" t="s">
        <v>161</v>
      </c>
      <c r="C54" t="s">
        <v>75</v>
      </c>
      <c r="D54" t="s">
        <v>162</v>
      </c>
      <c r="F54">
        <v>15</v>
      </c>
    </row>
    <row r="55" spans="1:6" x14ac:dyDescent="0.25">
      <c r="A55" t="s">
        <v>163</v>
      </c>
      <c r="C55" t="s">
        <v>164</v>
      </c>
      <c r="D55" t="s">
        <v>165</v>
      </c>
      <c r="F55">
        <v>15</v>
      </c>
    </row>
    <row r="56" spans="1:6" x14ac:dyDescent="0.25">
      <c r="A56" t="s">
        <v>166</v>
      </c>
      <c r="C56" t="s">
        <v>167</v>
      </c>
      <c r="D56" t="s">
        <v>168</v>
      </c>
      <c r="F56">
        <v>15</v>
      </c>
    </row>
    <row r="57" spans="1:6" x14ac:dyDescent="0.25">
      <c r="A57" t="s">
        <v>169</v>
      </c>
      <c r="C57" t="s">
        <v>170</v>
      </c>
      <c r="D57" t="s">
        <v>171</v>
      </c>
      <c r="F57">
        <v>15</v>
      </c>
    </row>
    <row r="58" spans="1:6" x14ac:dyDescent="0.25">
      <c r="A58" t="s">
        <v>172</v>
      </c>
      <c r="C58" t="s">
        <v>75</v>
      </c>
      <c r="D58" t="s">
        <v>168</v>
      </c>
      <c r="F58">
        <v>10</v>
      </c>
    </row>
    <row r="59" spans="1:6" x14ac:dyDescent="0.25">
      <c r="A59" t="s">
        <v>173</v>
      </c>
      <c r="C59" t="s">
        <v>75</v>
      </c>
      <c r="D59" t="s">
        <v>174</v>
      </c>
      <c r="F59">
        <v>15</v>
      </c>
    </row>
    <row r="60" spans="1:6" x14ac:dyDescent="0.25">
      <c r="A60" t="s">
        <v>175</v>
      </c>
      <c r="C60" t="s">
        <v>176</v>
      </c>
      <c r="D60" t="s">
        <v>177</v>
      </c>
      <c r="F60">
        <v>15</v>
      </c>
    </row>
    <row r="61" spans="1:6" x14ac:dyDescent="0.25">
      <c r="A61" t="s">
        <v>178</v>
      </c>
      <c r="C61" t="s">
        <v>179</v>
      </c>
      <c r="D61" t="s">
        <v>180</v>
      </c>
      <c r="F61">
        <v>10</v>
      </c>
    </row>
    <row r="62" spans="1:6" x14ac:dyDescent="0.25">
      <c r="A62" t="s">
        <v>181</v>
      </c>
      <c r="C62" t="s">
        <v>182</v>
      </c>
      <c r="D62" t="s">
        <v>183</v>
      </c>
      <c r="F62">
        <v>10</v>
      </c>
    </row>
    <row r="63" spans="1:6" x14ac:dyDescent="0.25">
      <c r="A63" t="s">
        <v>184</v>
      </c>
      <c r="C63" t="s">
        <v>75</v>
      </c>
      <c r="D63" t="s">
        <v>185</v>
      </c>
      <c r="F63">
        <v>10</v>
      </c>
    </row>
    <row r="64" spans="1:6" x14ac:dyDescent="0.25">
      <c r="A64" t="s">
        <v>186</v>
      </c>
      <c r="C64" t="s">
        <v>187</v>
      </c>
      <c r="D64" t="s">
        <v>188</v>
      </c>
      <c r="F64">
        <v>10</v>
      </c>
    </row>
    <row r="65" spans="1:6" x14ac:dyDescent="0.25">
      <c r="A65" t="s">
        <v>189</v>
      </c>
      <c r="C65" t="s">
        <v>190</v>
      </c>
      <c r="D65" t="s">
        <v>191</v>
      </c>
      <c r="F65">
        <v>15</v>
      </c>
    </row>
    <row r="66" spans="1:6" x14ac:dyDescent="0.25">
      <c r="A66" t="s">
        <v>192</v>
      </c>
      <c r="C66" t="s">
        <v>193</v>
      </c>
      <c r="D66" t="s">
        <v>194</v>
      </c>
      <c r="F66">
        <v>15</v>
      </c>
    </row>
    <row r="67" spans="1:6" x14ac:dyDescent="0.25">
      <c r="A67" t="s">
        <v>195</v>
      </c>
      <c r="C67" t="s">
        <v>196</v>
      </c>
      <c r="D67" t="s">
        <v>197</v>
      </c>
      <c r="F67">
        <v>15</v>
      </c>
    </row>
    <row r="68" spans="1:6" x14ac:dyDescent="0.25">
      <c r="A68" t="s">
        <v>198</v>
      </c>
      <c r="C68" t="s">
        <v>199</v>
      </c>
      <c r="D68" t="s">
        <v>200</v>
      </c>
      <c r="F68">
        <v>15</v>
      </c>
    </row>
    <row r="69" spans="1:6" x14ac:dyDescent="0.25">
      <c r="A69" t="s">
        <v>201</v>
      </c>
      <c r="C69" t="s">
        <v>202</v>
      </c>
      <c r="D69" t="s">
        <v>203</v>
      </c>
      <c r="F69">
        <v>15</v>
      </c>
    </row>
    <row r="70" spans="1:6" x14ac:dyDescent="0.25">
      <c r="A70" t="s">
        <v>204</v>
      </c>
      <c r="C70" t="s">
        <v>205</v>
      </c>
      <c r="D70" t="s">
        <v>206</v>
      </c>
      <c r="E70" t="s">
        <v>207</v>
      </c>
      <c r="F70">
        <v>10</v>
      </c>
    </row>
    <row r="71" spans="1:6" x14ac:dyDescent="0.25">
      <c r="A71" t="s">
        <v>208</v>
      </c>
      <c r="C71" t="s">
        <v>75</v>
      </c>
      <c r="D71" t="s">
        <v>209</v>
      </c>
      <c r="F71">
        <v>15</v>
      </c>
    </row>
    <row r="72" spans="1:6" x14ac:dyDescent="0.25">
      <c r="A72" t="s">
        <v>210</v>
      </c>
      <c r="C72" t="s">
        <v>211</v>
      </c>
      <c r="D72" t="s">
        <v>1944</v>
      </c>
      <c r="E72" t="s">
        <v>142</v>
      </c>
      <c r="F72">
        <v>15</v>
      </c>
    </row>
    <row r="73" spans="1:6" x14ac:dyDescent="0.25">
      <c r="A73" t="s">
        <v>212</v>
      </c>
      <c r="C73" t="s">
        <v>213</v>
      </c>
      <c r="D73" t="s">
        <v>214</v>
      </c>
      <c r="E73" t="s">
        <v>215</v>
      </c>
      <c r="F73">
        <v>15</v>
      </c>
    </row>
    <row r="74" spans="1:6" x14ac:dyDescent="0.25">
      <c r="A74" t="s">
        <v>216</v>
      </c>
      <c r="C74" t="s">
        <v>217</v>
      </c>
      <c r="D74" t="s">
        <v>218</v>
      </c>
      <c r="E74" t="s">
        <v>219</v>
      </c>
      <c r="F74">
        <v>15</v>
      </c>
    </row>
    <row r="75" spans="1:6" x14ac:dyDescent="0.25">
      <c r="A75" t="s">
        <v>220</v>
      </c>
      <c r="C75" t="s">
        <v>221</v>
      </c>
      <c r="D75" t="s">
        <v>222</v>
      </c>
      <c r="E75" t="s">
        <v>223</v>
      </c>
      <c r="F75">
        <v>15</v>
      </c>
    </row>
    <row r="76" spans="1:6" x14ac:dyDescent="0.25">
      <c r="A76" t="s">
        <v>224</v>
      </c>
      <c r="F76">
        <v>15</v>
      </c>
    </row>
    <row r="77" spans="1:6" x14ac:dyDescent="0.25">
      <c r="A77" t="s">
        <v>225</v>
      </c>
      <c r="C77" t="s">
        <v>226</v>
      </c>
      <c r="D77" t="s">
        <v>227</v>
      </c>
      <c r="E77" t="s">
        <v>228</v>
      </c>
      <c r="F77">
        <v>10</v>
      </c>
    </row>
    <row r="78" spans="1:6" x14ac:dyDescent="0.25">
      <c r="A78" t="s">
        <v>229</v>
      </c>
      <c r="C78" t="s">
        <v>230</v>
      </c>
      <c r="D78" t="s">
        <v>231</v>
      </c>
      <c r="F78">
        <v>15</v>
      </c>
    </row>
    <row r="79" spans="1:6" x14ac:dyDescent="0.25">
      <c r="A79" t="s">
        <v>232</v>
      </c>
      <c r="C79" t="s">
        <v>233</v>
      </c>
      <c r="D79" t="s">
        <v>234</v>
      </c>
      <c r="E79" t="s">
        <v>235</v>
      </c>
      <c r="F79">
        <v>15</v>
      </c>
    </row>
    <row r="80" spans="1:6" x14ac:dyDescent="0.25">
      <c r="A80" t="s">
        <v>236</v>
      </c>
      <c r="C80" t="s">
        <v>237</v>
      </c>
      <c r="D80" t="s">
        <v>109</v>
      </c>
      <c r="F80">
        <v>15</v>
      </c>
    </row>
    <row r="81" spans="1:6" x14ac:dyDescent="0.25">
      <c r="A81" t="s">
        <v>238</v>
      </c>
      <c r="C81" t="s">
        <v>239</v>
      </c>
      <c r="D81" t="s">
        <v>240</v>
      </c>
      <c r="E81" t="s">
        <v>241</v>
      </c>
      <c r="F81">
        <v>10</v>
      </c>
    </row>
    <row r="82" spans="1:6" x14ac:dyDescent="0.25">
      <c r="A82" t="s">
        <v>242</v>
      </c>
      <c r="C82" t="s">
        <v>243</v>
      </c>
      <c r="D82" t="s">
        <v>244</v>
      </c>
      <c r="E82" t="s">
        <v>245</v>
      </c>
      <c r="F82">
        <v>15</v>
      </c>
    </row>
    <row r="83" spans="1:6" x14ac:dyDescent="0.25">
      <c r="A83" t="s">
        <v>246</v>
      </c>
      <c r="C83" t="s">
        <v>247</v>
      </c>
      <c r="D83" t="s">
        <v>248</v>
      </c>
      <c r="E83" t="s">
        <v>249</v>
      </c>
      <c r="F83">
        <v>15</v>
      </c>
    </row>
    <row r="84" spans="1:6" x14ac:dyDescent="0.25">
      <c r="A84" t="s">
        <v>250</v>
      </c>
      <c r="C84" t="s">
        <v>251</v>
      </c>
      <c r="D84" t="s">
        <v>252</v>
      </c>
      <c r="E84" t="s">
        <v>253</v>
      </c>
      <c r="F84">
        <v>15</v>
      </c>
    </row>
    <row r="85" spans="1:6" x14ac:dyDescent="0.25">
      <c r="A85" t="s">
        <v>254</v>
      </c>
      <c r="C85" t="s">
        <v>255</v>
      </c>
      <c r="D85" t="s">
        <v>256</v>
      </c>
      <c r="F85">
        <v>15</v>
      </c>
    </row>
    <row r="86" spans="1:6" x14ac:dyDescent="0.25">
      <c r="A86" t="s">
        <v>257</v>
      </c>
      <c r="C86" t="s">
        <v>258</v>
      </c>
      <c r="D86" t="s">
        <v>259</v>
      </c>
      <c r="F86">
        <v>15</v>
      </c>
    </row>
    <row r="87" spans="1:6" x14ac:dyDescent="0.25">
      <c r="A87" t="s">
        <v>260</v>
      </c>
      <c r="C87" t="s">
        <v>261</v>
      </c>
      <c r="D87" t="s">
        <v>262</v>
      </c>
      <c r="E87" t="s">
        <v>263</v>
      </c>
      <c r="F87">
        <v>15</v>
      </c>
    </row>
    <row r="88" spans="1:6" x14ac:dyDescent="0.25">
      <c r="A88" t="s">
        <v>264</v>
      </c>
      <c r="C88" t="s">
        <v>265</v>
      </c>
      <c r="D88" t="s">
        <v>266</v>
      </c>
      <c r="E88" t="s">
        <v>267</v>
      </c>
      <c r="F88">
        <v>15</v>
      </c>
    </row>
    <row r="89" spans="1:6" x14ac:dyDescent="0.25">
      <c r="A89" t="s">
        <v>268</v>
      </c>
      <c r="C89" t="s">
        <v>269</v>
      </c>
      <c r="D89" t="s">
        <v>270</v>
      </c>
      <c r="E89" t="s">
        <v>271</v>
      </c>
      <c r="F89">
        <v>15</v>
      </c>
    </row>
    <row r="90" spans="1:6" x14ac:dyDescent="0.25">
      <c r="A90" t="s">
        <v>272</v>
      </c>
      <c r="C90" t="s">
        <v>273</v>
      </c>
      <c r="D90" t="s">
        <v>274</v>
      </c>
      <c r="E90" t="s">
        <v>275</v>
      </c>
      <c r="F90">
        <v>15</v>
      </c>
    </row>
    <row r="91" spans="1:6" x14ac:dyDescent="0.25">
      <c r="A91" t="s">
        <v>276</v>
      </c>
      <c r="C91" t="s">
        <v>277</v>
      </c>
      <c r="D91" t="s">
        <v>278</v>
      </c>
      <c r="E91" t="s">
        <v>279</v>
      </c>
      <c r="F91">
        <v>15</v>
      </c>
    </row>
    <row r="92" spans="1:6" x14ac:dyDescent="0.25">
      <c r="A92" t="s">
        <v>280</v>
      </c>
      <c r="C92" t="s">
        <v>281</v>
      </c>
      <c r="D92" t="s">
        <v>282</v>
      </c>
      <c r="E92" t="s">
        <v>283</v>
      </c>
      <c r="F92">
        <v>15</v>
      </c>
    </row>
    <row r="93" spans="1:6" x14ac:dyDescent="0.25">
      <c r="A93" t="s">
        <v>284</v>
      </c>
      <c r="C93" t="s">
        <v>285</v>
      </c>
      <c r="D93" t="s">
        <v>286</v>
      </c>
      <c r="E93" t="s">
        <v>287</v>
      </c>
      <c r="F93">
        <v>15</v>
      </c>
    </row>
    <row r="94" spans="1:6" x14ac:dyDescent="0.25">
      <c r="A94" t="s">
        <v>288</v>
      </c>
      <c r="C94" t="s">
        <v>289</v>
      </c>
      <c r="D94" t="s">
        <v>290</v>
      </c>
      <c r="E94" t="s">
        <v>291</v>
      </c>
      <c r="F94">
        <v>15</v>
      </c>
    </row>
    <row r="95" spans="1:6" x14ac:dyDescent="0.25">
      <c r="A95" t="s">
        <v>292</v>
      </c>
      <c r="F95">
        <v>15</v>
      </c>
    </row>
    <row r="96" spans="1:6" x14ac:dyDescent="0.25">
      <c r="A96" t="s">
        <v>293</v>
      </c>
      <c r="C96" t="s">
        <v>294</v>
      </c>
      <c r="D96" t="s">
        <v>150</v>
      </c>
      <c r="E96" t="s">
        <v>295</v>
      </c>
      <c r="F96">
        <v>15</v>
      </c>
    </row>
    <row r="97" spans="1:6" x14ac:dyDescent="0.25">
      <c r="A97" t="s">
        <v>296</v>
      </c>
      <c r="C97" t="s">
        <v>297</v>
      </c>
      <c r="D97" t="s">
        <v>298</v>
      </c>
      <c r="E97" t="s">
        <v>299</v>
      </c>
      <c r="F97">
        <v>15</v>
      </c>
    </row>
    <row r="98" spans="1:6" x14ac:dyDescent="0.25">
      <c r="A98" t="s">
        <v>300</v>
      </c>
      <c r="C98" t="s">
        <v>301</v>
      </c>
      <c r="D98" t="s">
        <v>302</v>
      </c>
      <c r="E98" t="s">
        <v>303</v>
      </c>
      <c r="F98">
        <v>15</v>
      </c>
    </row>
    <row r="99" spans="1:6" x14ac:dyDescent="0.25">
      <c r="A99" t="s">
        <v>304</v>
      </c>
      <c r="C99" t="s">
        <v>305</v>
      </c>
      <c r="D99" t="s">
        <v>306</v>
      </c>
      <c r="E99" t="s">
        <v>307</v>
      </c>
      <c r="F99">
        <v>15</v>
      </c>
    </row>
    <row r="100" spans="1:6" x14ac:dyDescent="0.25">
      <c r="A100" t="s">
        <v>308</v>
      </c>
      <c r="F100">
        <v>15</v>
      </c>
    </row>
    <row r="101" spans="1:6" x14ac:dyDescent="0.25">
      <c r="A101" t="s">
        <v>2015</v>
      </c>
      <c r="C101" t="s">
        <v>309</v>
      </c>
      <c r="D101" t="s">
        <v>310</v>
      </c>
      <c r="E101" t="s">
        <v>311</v>
      </c>
      <c r="F101">
        <v>15</v>
      </c>
    </row>
    <row r="102" spans="1:6" x14ac:dyDescent="0.25">
      <c r="A102" t="s">
        <v>312</v>
      </c>
      <c r="C102" t="s">
        <v>313</v>
      </c>
      <c r="D102" t="s">
        <v>314</v>
      </c>
      <c r="E102" t="s">
        <v>315</v>
      </c>
      <c r="F102">
        <v>15</v>
      </c>
    </row>
    <row r="103" spans="1:6" x14ac:dyDescent="0.25">
      <c r="A103" t="s">
        <v>316</v>
      </c>
      <c r="F103">
        <v>15</v>
      </c>
    </row>
    <row r="104" spans="1:6" x14ac:dyDescent="0.25">
      <c r="A104" t="s">
        <v>317</v>
      </c>
      <c r="C104" t="s">
        <v>318</v>
      </c>
      <c r="D104" t="s">
        <v>319</v>
      </c>
      <c r="E104" t="s">
        <v>320</v>
      </c>
      <c r="F104">
        <v>15</v>
      </c>
    </row>
    <row r="105" spans="1:6" x14ac:dyDescent="0.25">
      <c r="A105" t="s">
        <v>321</v>
      </c>
      <c r="C105" t="s">
        <v>322</v>
      </c>
      <c r="D105" t="s">
        <v>323</v>
      </c>
      <c r="E105" t="s">
        <v>324</v>
      </c>
      <c r="F105">
        <v>15</v>
      </c>
    </row>
    <row r="106" spans="1:6" x14ac:dyDescent="0.25">
      <c r="A106" t="s">
        <v>325</v>
      </c>
      <c r="C106" t="s">
        <v>326</v>
      </c>
      <c r="D106" t="s">
        <v>327</v>
      </c>
      <c r="E106" t="s">
        <v>328</v>
      </c>
      <c r="F106">
        <v>15</v>
      </c>
    </row>
    <row r="107" spans="1:6" x14ac:dyDescent="0.25">
      <c r="A107" t="s">
        <v>329</v>
      </c>
      <c r="C107" t="s">
        <v>330</v>
      </c>
      <c r="D107" t="s">
        <v>331</v>
      </c>
      <c r="E107" t="s">
        <v>332</v>
      </c>
      <c r="F107">
        <v>15</v>
      </c>
    </row>
    <row r="108" spans="1:6" x14ac:dyDescent="0.25">
      <c r="A108" t="s">
        <v>333</v>
      </c>
      <c r="F108">
        <v>15</v>
      </c>
    </row>
    <row r="109" spans="1:6" x14ac:dyDescent="0.25">
      <c r="A109" t="s">
        <v>334</v>
      </c>
      <c r="C109" t="s">
        <v>335</v>
      </c>
      <c r="D109" t="s">
        <v>336</v>
      </c>
      <c r="E109" t="s">
        <v>337</v>
      </c>
      <c r="F109">
        <v>15</v>
      </c>
    </row>
    <row r="110" spans="1:6" x14ac:dyDescent="0.25">
      <c r="A110" t="s">
        <v>338</v>
      </c>
      <c r="C110" t="s">
        <v>339</v>
      </c>
      <c r="D110" t="s">
        <v>340</v>
      </c>
      <c r="E110" t="s">
        <v>341</v>
      </c>
      <c r="F110">
        <v>15</v>
      </c>
    </row>
    <row r="111" spans="1:6" x14ac:dyDescent="0.25">
      <c r="A111" t="s">
        <v>342</v>
      </c>
      <c r="C111" t="s">
        <v>343</v>
      </c>
      <c r="D111" t="s">
        <v>344</v>
      </c>
      <c r="E111" t="s">
        <v>345</v>
      </c>
      <c r="F111">
        <v>15</v>
      </c>
    </row>
    <row r="112" spans="1:6" x14ac:dyDescent="0.25">
      <c r="A112" t="s">
        <v>346</v>
      </c>
      <c r="C112" t="s">
        <v>347</v>
      </c>
      <c r="D112" t="s">
        <v>348</v>
      </c>
      <c r="E112" t="s">
        <v>349</v>
      </c>
      <c r="F112">
        <v>15</v>
      </c>
    </row>
    <row r="113" spans="1:6" x14ac:dyDescent="0.25">
      <c r="A113" t="s">
        <v>350</v>
      </c>
      <c r="C113" t="s">
        <v>351</v>
      </c>
      <c r="D113" t="s">
        <v>352</v>
      </c>
      <c r="F113">
        <v>15</v>
      </c>
    </row>
    <row r="114" spans="1:6" x14ac:dyDescent="0.25">
      <c r="A114" t="s">
        <v>353</v>
      </c>
      <c r="C114" t="s">
        <v>354</v>
      </c>
      <c r="D114" t="s">
        <v>355</v>
      </c>
      <c r="E114" t="s">
        <v>356</v>
      </c>
      <c r="F114">
        <v>15</v>
      </c>
    </row>
    <row r="115" spans="1:6" x14ac:dyDescent="0.25">
      <c r="A115" t="s">
        <v>357</v>
      </c>
      <c r="C115" t="s">
        <v>358</v>
      </c>
      <c r="D115" t="s">
        <v>1591</v>
      </c>
      <c r="E115" t="s">
        <v>1592</v>
      </c>
      <c r="F115">
        <v>15</v>
      </c>
    </row>
    <row r="116" spans="1:6" x14ac:dyDescent="0.25">
      <c r="A116" t="s">
        <v>359</v>
      </c>
      <c r="C116" t="s">
        <v>360</v>
      </c>
      <c r="D116" t="s">
        <v>361</v>
      </c>
      <c r="E116" t="s">
        <v>362</v>
      </c>
      <c r="F116">
        <v>15</v>
      </c>
    </row>
    <row r="117" spans="1:6" x14ac:dyDescent="0.25">
      <c r="A117" t="s">
        <v>363</v>
      </c>
      <c r="C117" t="s">
        <v>364</v>
      </c>
      <c r="D117" t="s">
        <v>352</v>
      </c>
      <c r="E117" t="s">
        <v>365</v>
      </c>
      <c r="F117">
        <v>15</v>
      </c>
    </row>
    <row r="118" spans="1:6" x14ac:dyDescent="0.25">
      <c r="A118" t="s">
        <v>366</v>
      </c>
      <c r="C118" t="s">
        <v>367</v>
      </c>
      <c r="D118" t="s">
        <v>368</v>
      </c>
      <c r="E118" t="s">
        <v>369</v>
      </c>
      <c r="F118">
        <v>15</v>
      </c>
    </row>
    <row r="119" spans="1:6" x14ac:dyDescent="0.25">
      <c r="A119" t="s">
        <v>370</v>
      </c>
      <c r="D119" t="s">
        <v>371</v>
      </c>
      <c r="E119" t="s">
        <v>372</v>
      </c>
      <c r="F119">
        <v>15</v>
      </c>
    </row>
    <row r="120" spans="1:6" x14ac:dyDescent="0.25">
      <c r="A120" t="s">
        <v>373</v>
      </c>
      <c r="C120" t="s">
        <v>374</v>
      </c>
      <c r="D120" t="s">
        <v>375</v>
      </c>
      <c r="E120" t="s">
        <v>376</v>
      </c>
      <c r="F120">
        <v>15</v>
      </c>
    </row>
    <row r="121" spans="1:6" x14ac:dyDescent="0.25">
      <c r="A121" t="s">
        <v>377</v>
      </c>
      <c r="C121" t="s">
        <v>378</v>
      </c>
      <c r="D121" t="s">
        <v>379</v>
      </c>
      <c r="E121" t="s">
        <v>380</v>
      </c>
      <c r="F121">
        <v>15</v>
      </c>
    </row>
    <row r="122" spans="1:6" x14ac:dyDescent="0.25">
      <c r="A122" t="s">
        <v>381</v>
      </c>
      <c r="C122" t="s">
        <v>382</v>
      </c>
      <c r="D122" t="s">
        <v>383</v>
      </c>
      <c r="E122" t="s">
        <v>384</v>
      </c>
      <c r="F122">
        <v>15</v>
      </c>
    </row>
    <row r="123" spans="1:6" x14ac:dyDescent="0.25">
      <c r="A123" t="s">
        <v>385</v>
      </c>
      <c r="C123" t="s">
        <v>386</v>
      </c>
      <c r="D123" t="s">
        <v>387</v>
      </c>
      <c r="E123" t="s">
        <v>388</v>
      </c>
      <c r="F123">
        <v>15</v>
      </c>
    </row>
    <row r="124" spans="1:6" x14ac:dyDescent="0.25">
      <c r="A124" t="s">
        <v>389</v>
      </c>
      <c r="F124">
        <v>15</v>
      </c>
    </row>
    <row r="125" spans="1:6" x14ac:dyDescent="0.25">
      <c r="A125" t="s">
        <v>390</v>
      </c>
      <c r="C125" t="s">
        <v>391</v>
      </c>
      <c r="F125">
        <v>15</v>
      </c>
    </row>
    <row r="126" spans="1:6" x14ac:dyDescent="0.25">
      <c r="A126" t="s">
        <v>392</v>
      </c>
      <c r="C126" t="s">
        <v>393</v>
      </c>
      <c r="D126" t="s">
        <v>394</v>
      </c>
      <c r="E126" t="s">
        <v>395</v>
      </c>
      <c r="F126">
        <v>15</v>
      </c>
    </row>
    <row r="127" spans="1:6" x14ac:dyDescent="0.25">
      <c r="A127" t="s">
        <v>396</v>
      </c>
      <c r="C127" t="s">
        <v>397</v>
      </c>
      <c r="D127" t="s">
        <v>398</v>
      </c>
      <c r="E127" t="s">
        <v>399</v>
      </c>
      <c r="F127">
        <v>15</v>
      </c>
    </row>
    <row r="128" spans="1:6" x14ac:dyDescent="0.25">
      <c r="A128" t="s">
        <v>400</v>
      </c>
      <c r="C128" t="s">
        <v>401</v>
      </c>
      <c r="D128" t="s">
        <v>402</v>
      </c>
      <c r="E128" t="s">
        <v>403</v>
      </c>
      <c r="F128">
        <v>15</v>
      </c>
    </row>
    <row r="129" spans="1:6" x14ac:dyDescent="0.25">
      <c r="A129" t="s">
        <v>404</v>
      </c>
      <c r="C129" t="s">
        <v>405</v>
      </c>
      <c r="D129" t="s">
        <v>406</v>
      </c>
      <c r="E129" t="s">
        <v>407</v>
      </c>
      <c r="F129">
        <v>15</v>
      </c>
    </row>
    <row r="130" spans="1:6" x14ac:dyDescent="0.25">
      <c r="A130" t="s">
        <v>408</v>
      </c>
      <c r="C130" t="s">
        <v>409</v>
      </c>
      <c r="D130" t="s">
        <v>410</v>
      </c>
      <c r="E130" t="s">
        <v>411</v>
      </c>
      <c r="F130">
        <v>15</v>
      </c>
    </row>
    <row r="131" spans="1:6" x14ac:dyDescent="0.25">
      <c r="A131" t="s">
        <v>412</v>
      </c>
      <c r="C131" t="s">
        <v>413</v>
      </c>
      <c r="F131">
        <v>15</v>
      </c>
    </row>
    <row r="132" spans="1:6" x14ac:dyDescent="0.25">
      <c r="A132" t="s">
        <v>414</v>
      </c>
      <c r="C132" t="s">
        <v>415</v>
      </c>
      <c r="D132" t="s">
        <v>416</v>
      </c>
      <c r="E132" t="s">
        <v>417</v>
      </c>
      <c r="F132">
        <v>15</v>
      </c>
    </row>
    <row r="133" spans="1:6" x14ac:dyDescent="0.25">
      <c r="A133" t="s">
        <v>418</v>
      </c>
      <c r="C133" t="s">
        <v>419</v>
      </c>
      <c r="D133" t="s">
        <v>420</v>
      </c>
      <c r="E133" t="s">
        <v>421</v>
      </c>
      <c r="F133">
        <v>15</v>
      </c>
    </row>
    <row r="134" spans="1:6" x14ac:dyDescent="0.25">
      <c r="A134" t="s">
        <v>422</v>
      </c>
      <c r="C134" t="s">
        <v>423</v>
      </c>
      <c r="D134" t="s">
        <v>424</v>
      </c>
      <c r="E134" t="s">
        <v>425</v>
      </c>
      <c r="F134">
        <v>15</v>
      </c>
    </row>
    <row r="135" spans="1:6" x14ac:dyDescent="0.25">
      <c r="A135" t="s">
        <v>426</v>
      </c>
      <c r="C135" t="s">
        <v>427</v>
      </c>
      <c r="D135" t="s">
        <v>428</v>
      </c>
      <c r="E135" t="s">
        <v>429</v>
      </c>
      <c r="F135">
        <v>15</v>
      </c>
    </row>
    <row r="136" spans="1:6" x14ac:dyDescent="0.25">
      <c r="A136" t="s">
        <v>430</v>
      </c>
      <c r="C136" t="s">
        <v>431</v>
      </c>
      <c r="D136" t="s">
        <v>432</v>
      </c>
      <c r="E136" t="s">
        <v>433</v>
      </c>
      <c r="F136">
        <v>15</v>
      </c>
    </row>
    <row r="137" spans="1:6" x14ac:dyDescent="0.25">
      <c r="A137" t="s">
        <v>434</v>
      </c>
      <c r="D137" t="s">
        <v>435</v>
      </c>
      <c r="E137" t="s">
        <v>436</v>
      </c>
      <c r="F137">
        <v>15</v>
      </c>
    </row>
    <row r="138" spans="1:6" x14ac:dyDescent="0.25">
      <c r="A138" t="s">
        <v>437</v>
      </c>
      <c r="C138" t="s">
        <v>438</v>
      </c>
      <c r="D138" t="s">
        <v>439</v>
      </c>
      <c r="E138" t="s">
        <v>440</v>
      </c>
      <c r="F138">
        <v>15</v>
      </c>
    </row>
    <row r="139" spans="1:6" x14ac:dyDescent="0.25">
      <c r="A139" t="s">
        <v>441</v>
      </c>
      <c r="C139" t="s">
        <v>442</v>
      </c>
      <c r="D139" t="s">
        <v>443</v>
      </c>
      <c r="E139" t="s">
        <v>444</v>
      </c>
      <c r="F139">
        <v>15</v>
      </c>
    </row>
    <row r="140" spans="1:6" x14ac:dyDescent="0.25">
      <c r="A140" t="s">
        <v>445</v>
      </c>
      <c r="C140" t="s">
        <v>446</v>
      </c>
      <c r="D140" t="s">
        <v>447</v>
      </c>
      <c r="E140" t="s">
        <v>125</v>
      </c>
      <c r="F140">
        <v>15</v>
      </c>
    </row>
    <row r="141" spans="1:6" x14ac:dyDescent="0.25">
      <c r="A141" t="s">
        <v>448</v>
      </c>
      <c r="C141" t="s">
        <v>449</v>
      </c>
      <c r="D141" t="s">
        <v>450</v>
      </c>
      <c r="E141" t="s">
        <v>451</v>
      </c>
      <c r="F141">
        <v>15</v>
      </c>
    </row>
    <row r="142" spans="1:6" x14ac:dyDescent="0.25">
      <c r="A142" t="s">
        <v>452</v>
      </c>
      <c r="C142" t="s">
        <v>453</v>
      </c>
      <c r="D142" t="s">
        <v>454</v>
      </c>
      <c r="E142" t="s">
        <v>455</v>
      </c>
      <c r="F142">
        <v>15</v>
      </c>
    </row>
    <row r="143" spans="1:6" x14ac:dyDescent="0.25">
      <c r="A143" t="s">
        <v>456</v>
      </c>
      <c r="C143" t="s">
        <v>457</v>
      </c>
      <c r="D143" t="s">
        <v>1411</v>
      </c>
      <c r="E143" t="s">
        <v>458</v>
      </c>
      <c r="F143">
        <v>15</v>
      </c>
    </row>
    <row r="144" spans="1:6" x14ac:dyDescent="0.25">
      <c r="A144" t="s">
        <v>459</v>
      </c>
      <c r="C144" t="s">
        <v>460</v>
      </c>
      <c r="D144" t="s">
        <v>461</v>
      </c>
      <c r="E144" t="s">
        <v>462</v>
      </c>
      <c r="F144">
        <v>15</v>
      </c>
    </row>
    <row r="145" spans="1:6" x14ac:dyDescent="0.25">
      <c r="A145" t="s">
        <v>463</v>
      </c>
      <c r="C145" t="s">
        <v>464</v>
      </c>
      <c r="D145" t="s">
        <v>465</v>
      </c>
      <c r="E145" t="s">
        <v>466</v>
      </c>
      <c r="F145">
        <v>15</v>
      </c>
    </row>
    <row r="146" spans="1:6" x14ac:dyDescent="0.25">
      <c r="A146" t="s">
        <v>1581</v>
      </c>
      <c r="C146" t="s">
        <v>343</v>
      </c>
      <c r="D146" t="s">
        <v>467</v>
      </c>
      <c r="E146" t="s">
        <v>341</v>
      </c>
      <c r="F146">
        <v>15</v>
      </c>
    </row>
    <row r="147" spans="1:6" x14ac:dyDescent="0.25">
      <c r="A147" t="s">
        <v>468</v>
      </c>
      <c r="C147" t="s">
        <v>469</v>
      </c>
      <c r="D147" t="s">
        <v>470</v>
      </c>
      <c r="E147" t="s">
        <v>471</v>
      </c>
      <c r="F147">
        <v>15</v>
      </c>
    </row>
    <row r="148" spans="1:6" x14ac:dyDescent="0.25">
      <c r="A148" t="s">
        <v>472</v>
      </c>
      <c r="C148" t="s">
        <v>473</v>
      </c>
      <c r="D148" t="s">
        <v>474</v>
      </c>
      <c r="E148" t="s">
        <v>475</v>
      </c>
      <c r="F148">
        <v>15</v>
      </c>
    </row>
    <row r="149" spans="1:6" x14ac:dyDescent="0.25">
      <c r="A149" t="s">
        <v>476</v>
      </c>
      <c r="C149" t="s">
        <v>477</v>
      </c>
      <c r="D149" t="s">
        <v>478</v>
      </c>
      <c r="E149" t="s">
        <v>479</v>
      </c>
      <c r="F149">
        <v>15</v>
      </c>
    </row>
    <row r="150" spans="1:6" x14ac:dyDescent="0.25">
      <c r="A150" t="s">
        <v>480</v>
      </c>
      <c r="C150" t="s">
        <v>481</v>
      </c>
      <c r="D150" t="s">
        <v>482</v>
      </c>
      <c r="E150" t="s">
        <v>483</v>
      </c>
      <c r="F150">
        <v>15</v>
      </c>
    </row>
    <row r="151" spans="1:6" x14ac:dyDescent="0.25">
      <c r="A151" t="s">
        <v>484</v>
      </c>
      <c r="C151" t="s">
        <v>485</v>
      </c>
      <c r="D151" t="s">
        <v>486</v>
      </c>
      <c r="E151" t="s">
        <v>487</v>
      </c>
      <c r="F151">
        <v>15</v>
      </c>
    </row>
    <row r="152" spans="1:6" x14ac:dyDescent="0.25">
      <c r="A152" t="s">
        <v>488</v>
      </c>
      <c r="C152" t="s">
        <v>343</v>
      </c>
      <c r="D152" t="s">
        <v>489</v>
      </c>
      <c r="E152" t="s">
        <v>490</v>
      </c>
      <c r="F152">
        <v>15</v>
      </c>
    </row>
    <row r="153" spans="1:6" x14ac:dyDescent="0.25">
      <c r="A153" t="s">
        <v>491</v>
      </c>
      <c r="C153" t="s">
        <v>343</v>
      </c>
      <c r="D153" t="s">
        <v>467</v>
      </c>
      <c r="E153" t="s">
        <v>341</v>
      </c>
      <c r="F153">
        <v>15</v>
      </c>
    </row>
    <row r="154" spans="1:6" x14ac:dyDescent="0.25">
      <c r="A154" t="s">
        <v>492</v>
      </c>
      <c r="C154" t="s">
        <v>493</v>
      </c>
      <c r="D154" t="s">
        <v>494</v>
      </c>
      <c r="E154" t="s">
        <v>495</v>
      </c>
      <c r="F154">
        <v>15</v>
      </c>
    </row>
    <row r="155" spans="1:6" x14ac:dyDescent="0.25">
      <c r="A155" t="s">
        <v>496</v>
      </c>
      <c r="C155" t="s">
        <v>497</v>
      </c>
      <c r="D155" t="s">
        <v>498</v>
      </c>
      <c r="E155" t="s">
        <v>499</v>
      </c>
      <c r="F155">
        <v>15</v>
      </c>
    </row>
    <row r="156" spans="1:6" x14ac:dyDescent="0.25">
      <c r="A156" t="s">
        <v>500</v>
      </c>
      <c r="C156" t="s">
        <v>501</v>
      </c>
      <c r="D156" t="s">
        <v>502</v>
      </c>
      <c r="E156" t="s">
        <v>503</v>
      </c>
      <c r="F156">
        <v>15</v>
      </c>
    </row>
    <row r="157" spans="1:6" x14ac:dyDescent="0.25">
      <c r="A157" t="s">
        <v>504</v>
      </c>
      <c r="C157" t="s">
        <v>505</v>
      </c>
      <c r="D157" t="s">
        <v>506</v>
      </c>
      <c r="E157" t="s">
        <v>507</v>
      </c>
      <c r="F157">
        <v>15</v>
      </c>
    </row>
    <row r="158" spans="1:6" x14ac:dyDescent="0.25">
      <c r="A158" t="s">
        <v>508</v>
      </c>
      <c r="C158" t="s">
        <v>509</v>
      </c>
      <c r="D158" t="s">
        <v>510</v>
      </c>
      <c r="E158" t="s">
        <v>511</v>
      </c>
      <c r="F158">
        <v>15</v>
      </c>
    </row>
    <row r="159" spans="1:6" x14ac:dyDescent="0.25">
      <c r="A159" t="s">
        <v>1276</v>
      </c>
      <c r="C159" t="s">
        <v>1278</v>
      </c>
      <c r="D159" t="s">
        <v>266</v>
      </c>
      <c r="E159" t="s">
        <v>267</v>
      </c>
      <c r="F159">
        <v>15</v>
      </c>
    </row>
    <row r="160" spans="1:6" x14ac:dyDescent="0.25">
      <c r="A160" t="s">
        <v>1299</v>
      </c>
      <c r="C160" t="s">
        <v>1302</v>
      </c>
      <c r="D160" t="s">
        <v>1300</v>
      </c>
      <c r="E160" t="s">
        <v>1301</v>
      </c>
      <c r="F160">
        <v>15</v>
      </c>
    </row>
    <row r="161" spans="1:6" x14ac:dyDescent="0.25">
      <c r="A161" t="s">
        <v>1303</v>
      </c>
      <c r="C161" t="s">
        <v>1304</v>
      </c>
      <c r="D161" t="s">
        <v>1321</v>
      </c>
      <c r="E161" t="s">
        <v>1322</v>
      </c>
      <c r="F161">
        <v>15</v>
      </c>
    </row>
    <row r="162" spans="1:6" x14ac:dyDescent="0.25">
      <c r="A162" t="s">
        <v>1305</v>
      </c>
      <c r="C162" t="s">
        <v>1306</v>
      </c>
      <c r="D162" t="s">
        <v>1307</v>
      </c>
      <c r="E162" t="s">
        <v>1308</v>
      </c>
      <c r="F162">
        <v>15</v>
      </c>
    </row>
    <row r="163" spans="1:6" x14ac:dyDescent="0.25">
      <c r="A163" t="s">
        <v>1309</v>
      </c>
      <c r="C163" t="s">
        <v>1310</v>
      </c>
      <c r="D163" t="s">
        <v>1311</v>
      </c>
      <c r="E163" t="s">
        <v>1312</v>
      </c>
      <c r="F163">
        <v>15</v>
      </c>
    </row>
    <row r="164" spans="1:6" x14ac:dyDescent="0.25">
      <c r="A164" t="s">
        <v>1313</v>
      </c>
      <c r="C164" t="s">
        <v>1315</v>
      </c>
      <c r="D164" t="s">
        <v>1314</v>
      </c>
      <c r="E164" t="s">
        <v>1316</v>
      </c>
      <c r="F164">
        <v>15</v>
      </c>
    </row>
    <row r="165" spans="1:6" x14ac:dyDescent="0.25">
      <c r="A165" t="s">
        <v>1317</v>
      </c>
      <c r="C165" t="s">
        <v>1320</v>
      </c>
      <c r="D165" t="s">
        <v>1318</v>
      </c>
      <c r="E165" t="s">
        <v>1319</v>
      </c>
      <c r="F165">
        <v>15</v>
      </c>
    </row>
    <row r="166" spans="1:6" x14ac:dyDescent="0.25">
      <c r="A166" t="s">
        <v>1346</v>
      </c>
      <c r="C166" t="s">
        <v>1347</v>
      </c>
      <c r="D166" t="s">
        <v>1359</v>
      </c>
      <c r="E166" t="s">
        <v>1360</v>
      </c>
      <c r="F166">
        <v>15</v>
      </c>
    </row>
    <row r="167" spans="1:6" x14ac:dyDescent="0.25">
      <c r="A167" t="s">
        <v>1352</v>
      </c>
      <c r="C167" t="s">
        <v>1351</v>
      </c>
      <c r="D167" t="s">
        <v>1353</v>
      </c>
      <c r="E167" t="s">
        <v>1354</v>
      </c>
      <c r="F167">
        <v>15</v>
      </c>
    </row>
    <row r="168" spans="1:6" x14ac:dyDescent="0.25">
      <c r="A168" t="s">
        <v>1355</v>
      </c>
      <c r="C168" t="s">
        <v>1357</v>
      </c>
      <c r="D168" t="s">
        <v>1356</v>
      </c>
      <c r="E168" t="s">
        <v>1358</v>
      </c>
      <c r="F168">
        <v>15</v>
      </c>
    </row>
    <row r="169" spans="1:6" x14ac:dyDescent="0.25">
      <c r="A169" t="s">
        <v>1361</v>
      </c>
      <c r="C169" t="s">
        <v>1366</v>
      </c>
      <c r="D169" t="s">
        <v>1270</v>
      </c>
      <c r="E169" t="s">
        <v>1271</v>
      </c>
      <c r="F169">
        <v>15</v>
      </c>
    </row>
    <row r="170" spans="1:6" x14ac:dyDescent="0.25">
      <c r="A170" t="s">
        <v>1362</v>
      </c>
      <c r="C170" t="s">
        <v>1363</v>
      </c>
      <c r="D170" t="s">
        <v>1364</v>
      </c>
      <c r="E170" t="s">
        <v>1365</v>
      </c>
      <c r="F170">
        <v>15</v>
      </c>
    </row>
    <row r="171" spans="1:6" x14ac:dyDescent="0.25">
      <c r="A171" t="s">
        <v>1367</v>
      </c>
      <c r="C171" t="s">
        <v>1370</v>
      </c>
      <c r="D171" t="s">
        <v>1368</v>
      </c>
      <c r="E171" t="s">
        <v>1369</v>
      </c>
      <c r="F171">
        <v>15</v>
      </c>
    </row>
    <row r="172" spans="1:6" x14ac:dyDescent="0.25">
      <c r="A172" t="s">
        <v>1384</v>
      </c>
      <c r="D172" t="s">
        <v>1385</v>
      </c>
      <c r="E172" t="s">
        <v>1380</v>
      </c>
      <c r="F172">
        <v>15</v>
      </c>
    </row>
    <row r="173" spans="1:6" x14ac:dyDescent="0.25">
      <c r="A173" t="s">
        <v>1403</v>
      </c>
      <c r="C173" t="s">
        <v>1404</v>
      </c>
      <c r="D173" t="s">
        <v>1405</v>
      </c>
      <c r="E173" t="s">
        <v>1406</v>
      </c>
      <c r="F173">
        <v>15</v>
      </c>
    </row>
    <row r="174" spans="1:6" x14ac:dyDescent="0.25">
      <c r="A174" t="s">
        <v>1409</v>
      </c>
      <c r="C174" t="s">
        <v>2006</v>
      </c>
      <c r="D174" t="s">
        <v>1408</v>
      </c>
      <c r="E174" t="s">
        <v>1410</v>
      </c>
      <c r="F174">
        <v>15</v>
      </c>
    </row>
    <row r="175" spans="1:6" x14ac:dyDescent="0.25">
      <c r="A175" t="s">
        <v>1416</v>
      </c>
      <c r="C175" t="s">
        <v>1417</v>
      </c>
      <c r="D175" t="s">
        <v>1418</v>
      </c>
      <c r="E175" t="s">
        <v>1419</v>
      </c>
      <c r="F175">
        <v>15</v>
      </c>
    </row>
    <row r="176" spans="1:6" x14ac:dyDescent="0.25">
      <c r="A176" t="s">
        <v>1428</v>
      </c>
      <c r="C176" t="s">
        <v>1429</v>
      </c>
      <c r="D176" t="s">
        <v>1430</v>
      </c>
      <c r="E176" t="s">
        <v>1431</v>
      </c>
      <c r="F176">
        <v>15</v>
      </c>
    </row>
    <row r="177" spans="1:6" x14ac:dyDescent="0.25">
      <c r="A177" t="s">
        <v>1442</v>
      </c>
      <c r="C177" t="s">
        <v>1439</v>
      </c>
      <c r="D177" t="s">
        <v>1440</v>
      </c>
      <c r="E177" t="s">
        <v>1441</v>
      </c>
      <c r="F177">
        <v>15</v>
      </c>
    </row>
    <row r="178" spans="1:6" x14ac:dyDescent="0.25">
      <c r="A178" t="s">
        <v>1499</v>
      </c>
      <c r="C178" t="s">
        <v>1498</v>
      </c>
      <c r="D178" t="s">
        <v>1500</v>
      </c>
      <c r="E178" t="s">
        <v>1503</v>
      </c>
      <c r="F178">
        <v>15</v>
      </c>
    </row>
    <row r="179" spans="1:6" x14ac:dyDescent="0.25">
      <c r="A179" t="s">
        <v>1501</v>
      </c>
      <c r="C179" t="s">
        <v>1502</v>
      </c>
      <c r="F179">
        <v>15</v>
      </c>
    </row>
    <row r="180" spans="1:6" x14ac:dyDescent="0.25">
      <c r="A180" t="s">
        <v>1509</v>
      </c>
      <c r="C180" t="s">
        <v>1510</v>
      </c>
      <c r="D180" t="s">
        <v>1511</v>
      </c>
      <c r="E180" t="s">
        <v>1512</v>
      </c>
      <c r="F180">
        <v>15</v>
      </c>
    </row>
    <row r="181" spans="1:6" x14ac:dyDescent="0.25">
      <c r="A181" t="s">
        <v>1513</v>
      </c>
      <c r="C181" t="s">
        <v>1514</v>
      </c>
      <c r="D181" t="s">
        <v>1516</v>
      </c>
      <c r="E181" t="s">
        <v>1515</v>
      </c>
      <c r="F181">
        <v>15</v>
      </c>
    </row>
    <row r="182" spans="1:6" x14ac:dyDescent="0.25">
      <c r="A182" t="s">
        <v>1543</v>
      </c>
      <c r="C182" t="s">
        <v>1544</v>
      </c>
      <c r="F182">
        <v>15</v>
      </c>
    </row>
    <row r="183" spans="1:6" x14ac:dyDescent="0.25">
      <c r="A183" t="s">
        <v>1546</v>
      </c>
      <c r="C183" t="s">
        <v>1548</v>
      </c>
      <c r="D183" t="s">
        <v>1547</v>
      </c>
      <c r="E183" t="s">
        <v>1549</v>
      </c>
      <c r="F183">
        <v>15</v>
      </c>
    </row>
    <row r="184" spans="1:6" x14ac:dyDescent="0.25">
      <c r="A184" t="s">
        <v>1550</v>
      </c>
      <c r="C184" t="s">
        <v>1551</v>
      </c>
      <c r="D184" t="s">
        <v>1552</v>
      </c>
      <c r="E184" t="s">
        <v>1553</v>
      </c>
      <c r="F184">
        <v>15</v>
      </c>
    </row>
    <row r="185" spans="1:6" x14ac:dyDescent="0.25">
      <c r="A185" t="s">
        <v>1563</v>
      </c>
      <c r="C185" t="s">
        <v>1564</v>
      </c>
      <c r="D185" t="s">
        <v>1589</v>
      </c>
      <c r="E185" t="s">
        <v>1590</v>
      </c>
      <c r="F185">
        <v>15</v>
      </c>
    </row>
    <row r="186" spans="1:6" x14ac:dyDescent="0.25">
      <c r="A186" t="s">
        <v>1637</v>
      </c>
      <c r="C186" t="s">
        <v>1638</v>
      </c>
      <c r="D186" t="s">
        <v>1684</v>
      </c>
      <c r="E186" t="s">
        <v>1690</v>
      </c>
      <c r="F186">
        <v>15</v>
      </c>
    </row>
    <row r="187" spans="1:6" x14ac:dyDescent="0.25">
      <c r="A187" t="s">
        <v>1639</v>
      </c>
      <c r="C187" t="s">
        <v>1640</v>
      </c>
      <c r="D187" t="s">
        <v>1641</v>
      </c>
      <c r="E187" t="s">
        <v>1642</v>
      </c>
      <c r="F187">
        <v>15</v>
      </c>
    </row>
    <row r="188" spans="1:6" x14ac:dyDescent="0.25">
      <c r="A188" t="s">
        <v>1643</v>
      </c>
      <c r="C188" t="s">
        <v>1644</v>
      </c>
      <c r="D188" t="s">
        <v>1645</v>
      </c>
      <c r="E188" t="s">
        <v>1646</v>
      </c>
      <c r="F188">
        <v>15</v>
      </c>
    </row>
    <row r="189" spans="1:6" x14ac:dyDescent="0.25">
      <c r="A189" t="s">
        <v>1678</v>
      </c>
      <c r="C189" t="s">
        <v>1682</v>
      </c>
      <c r="D189" t="s">
        <v>1683</v>
      </c>
      <c r="E189" t="s">
        <v>1731</v>
      </c>
      <c r="F189">
        <v>15</v>
      </c>
    </row>
    <row r="190" spans="1:6" x14ac:dyDescent="0.25">
      <c r="A190" t="s">
        <v>1702</v>
      </c>
      <c r="C190" t="s">
        <v>1703</v>
      </c>
      <c r="D190" t="s">
        <v>1742</v>
      </c>
      <c r="E190" t="s">
        <v>1743</v>
      </c>
      <c r="F190">
        <v>15</v>
      </c>
    </row>
    <row r="191" spans="1:6" x14ac:dyDescent="0.25">
      <c r="A191" t="s">
        <v>1713</v>
      </c>
      <c r="C191" t="s">
        <v>1714</v>
      </c>
      <c r="D191" t="s">
        <v>1724</v>
      </c>
      <c r="E191" t="s">
        <v>1725</v>
      </c>
      <c r="F191">
        <v>15</v>
      </c>
    </row>
    <row r="192" spans="1:6" x14ac:dyDescent="0.25">
      <c r="A192" t="s">
        <v>1723</v>
      </c>
      <c r="C192" t="s">
        <v>82</v>
      </c>
      <c r="D192" t="s">
        <v>1736</v>
      </c>
      <c r="E192" t="s">
        <v>1737</v>
      </c>
      <c r="F192">
        <v>15</v>
      </c>
    </row>
    <row r="193" spans="1:6" x14ac:dyDescent="0.25">
      <c r="A193" t="s">
        <v>1732</v>
      </c>
      <c r="C193" t="s">
        <v>1733</v>
      </c>
      <c r="D193" t="s">
        <v>1734</v>
      </c>
      <c r="E193" t="s">
        <v>1735</v>
      </c>
      <c r="F193">
        <v>15</v>
      </c>
    </row>
    <row r="194" spans="1:6" x14ac:dyDescent="0.25">
      <c r="A194" t="s">
        <v>1738</v>
      </c>
      <c r="C194" t="s">
        <v>1739</v>
      </c>
      <c r="D194" t="s">
        <v>1741</v>
      </c>
      <c r="E194" t="s">
        <v>1740</v>
      </c>
      <c r="F194">
        <v>15</v>
      </c>
    </row>
    <row r="195" spans="1:6" x14ac:dyDescent="0.25">
      <c r="A195" t="s">
        <v>1792</v>
      </c>
      <c r="C195" t="s">
        <v>1793</v>
      </c>
      <c r="D195" t="s">
        <v>1798</v>
      </c>
      <c r="E195" t="s">
        <v>1799</v>
      </c>
      <c r="F195">
        <v>15</v>
      </c>
    </row>
    <row r="196" spans="1:6" x14ac:dyDescent="0.25">
      <c r="A196" t="s">
        <v>1800</v>
      </c>
      <c r="C196" t="s">
        <v>1795</v>
      </c>
      <c r="D196" t="s">
        <v>1796</v>
      </c>
      <c r="E196" t="s">
        <v>1797</v>
      </c>
      <c r="F196">
        <v>15</v>
      </c>
    </row>
    <row r="197" spans="1:6" x14ac:dyDescent="0.25">
      <c r="A197" t="s">
        <v>1806</v>
      </c>
      <c r="C197" t="s">
        <v>1807</v>
      </c>
      <c r="D197" t="s">
        <v>1808</v>
      </c>
      <c r="E197" t="s">
        <v>1809</v>
      </c>
      <c r="F197">
        <v>15</v>
      </c>
    </row>
    <row r="198" spans="1:6" x14ac:dyDescent="0.25">
      <c r="A198" t="s">
        <v>1825</v>
      </c>
      <c r="C198" t="s">
        <v>1826</v>
      </c>
      <c r="D198" t="s">
        <v>2001</v>
      </c>
      <c r="E198" t="s">
        <v>2000</v>
      </c>
      <c r="F198">
        <v>15</v>
      </c>
    </row>
    <row r="199" spans="1:6" x14ac:dyDescent="0.25">
      <c r="A199" t="s">
        <v>1832</v>
      </c>
      <c r="C199" t="s">
        <v>1835</v>
      </c>
      <c r="D199" t="s">
        <v>1833</v>
      </c>
      <c r="E199" t="s">
        <v>1834</v>
      </c>
      <c r="F199">
        <v>15</v>
      </c>
    </row>
    <row r="200" spans="1:6" x14ac:dyDescent="0.25">
      <c r="A200" t="s">
        <v>1836</v>
      </c>
      <c r="C200" t="s">
        <v>1837</v>
      </c>
      <c r="D200" t="s">
        <v>1838</v>
      </c>
      <c r="E200" t="s">
        <v>1839</v>
      </c>
      <c r="F200">
        <v>15</v>
      </c>
    </row>
    <row r="201" spans="1:6" x14ac:dyDescent="0.25">
      <c r="A201" t="s">
        <v>1840</v>
      </c>
      <c r="C201" t="s">
        <v>1841</v>
      </c>
      <c r="D201" t="s">
        <v>1842</v>
      </c>
      <c r="E201" t="s">
        <v>1843</v>
      </c>
      <c r="F201">
        <v>15</v>
      </c>
    </row>
    <row r="202" spans="1:6" x14ac:dyDescent="0.25">
      <c r="A202" t="s">
        <v>1844</v>
      </c>
      <c r="C202" t="s">
        <v>1845</v>
      </c>
      <c r="D202" t="s">
        <v>1846</v>
      </c>
      <c r="E202" t="s">
        <v>1847</v>
      </c>
      <c r="F202">
        <v>15</v>
      </c>
    </row>
    <row r="203" spans="1:6" x14ac:dyDescent="0.25">
      <c r="A203" t="s">
        <v>1862</v>
      </c>
      <c r="C203" t="s">
        <v>1863</v>
      </c>
      <c r="D203" t="s">
        <v>1864</v>
      </c>
      <c r="E203" t="s">
        <v>1865</v>
      </c>
      <c r="F203">
        <v>15</v>
      </c>
    </row>
    <row r="204" spans="1:6" x14ac:dyDescent="0.25">
      <c r="A204" t="s">
        <v>1872</v>
      </c>
      <c r="C204" t="s">
        <v>1873</v>
      </c>
      <c r="D204" t="s">
        <v>1875</v>
      </c>
      <c r="E204" t="s">
        <v>1874</v>
      </c>
      <c r="F204">
        <v>15</v>
      </c>
    </row>
    <row r="205" spans="1:6" x14ac:dyDescent="0.25">
      <c r="A205" t="s">
        <v>1889</v>
      </c>
      <c r="C205" t="s">
        <v>1886</v>
      </c>
      <c r="D205" t="s">
        <v>1887</v>
      </c>
      <c r="E205" t="s">
        <v>1888</v>
      </c>
      <c r="F205">
        <v>15</v>
      </c>
    </row>
    <row r="206" spans="1:6" x14ac:dyDescent="0.25">
      <c r="A206" t="s">
        <v>1893</v>
      </c>
      <c r="C206" t="s">
        <v>1892</v>
      </c>
      <c r="D206" t="s">
        <v>1890</v>
      </c>
      <c r="E206" t="s">
        <v>1891</v>
      </c>
      <c r="F206">
        <v>15</v>
      </c>
    </row>
    <row r="207" spans="1:6" x14ac:dyDescent="0.25">
      <c r="A207" t="s">
        <v>1894</v>
      </c>
      <c r="C207" t="s">
        <v>1895</v>
      </c>
      <c r="D207" t="s">
        <v>1897</v>
      </c>
      <c r="E207" t="s">
        <v>1896</v>
      </c>
      <c r="F207">
        <v>15</v>
      </c>
    </row>
    <row r="208" spans="1:6" x14ac:dyDescent="0.25">
      <c r="A208" t="s">
        <v>1943</v>
      </c>
      <c r="C208" t="s">
        <v>1945</v>
      </c>
      <c r="D208" t="s">
        <v>1944</v>
      </c>
      <c r="E208" t="s">
        <v>142</v>
      </c>
      <c r="F208">
        <v>15</v>
      </c>
    </row>
    <row r="209" spans="1:6" x14ac:dyDescent="0.25">
      <c r="A209" t="s">
        <v>2007</v>
      </c>
      <c r="C209" t="s">
        <v>2012</v>
      </c>
      <c r="D209" t="s">
        <v>2008</v>
      </c>
      <c r="E209" t="s">
        <v>2009</v>
      </c>
      <c r="F209">
        <v>15</v>
      </c>
    </row>
    <row r="210" spans="1:6" x14ac:dyDescent="0.25">
      <c r="A210" t="s">
        <v>2011</v>
      </c>
      <c r="C210" t="s">
        <v>2014</v>
      </c>
      <c r="D210" t="s">
        <v>2010</v>
      </c>
      <c r="E210" t="s">
        <v>2013</v>
      </c>
      <c r="F210">
        <v>15</v>
      </c>
    </row>
    <row r="211" spans="1:6" x14ac:dyDescent="0.25">
      <c r="A211" t="s">
        <v>2039</v>
      </c>
      <c r="F211">
        <v>15</v>
      </c>
    </row>
    <row r="212" spans="1:6" x14ac:dyDescent="0.25">
      <c r="A212" t="s">
        <v>2048</v>
      </c>
      <c r="C212" t="s">
        <v>2049</v>
      </c>
      <c r="D212" t="s">
        <v>2051</v>
      </c>
      <c r="E212" t="s">
        <v>2050</v>
      </c>
      <c r="F212">
        <v>10</v>
      </c>
    </row>
    <row r="213" spans="1:6" x14ac:dyDescent="0.25">
      <c r="A213" t="s">
        <v>2055</v>
      </c>
      <c r="C213" t="s">
        <v>2056</v>
      </c>
      <c r="D213" t="s">
        <v>2058</v>
      </c>
      <c r="E213" t="s">
        <v>2057</v>
      </c>
      <c r="F213">
        <v>10</v>
      </c>
    </row>
    <row r="214" spans="1:6" x14ac:dyDescent="0.25">
      <c r="A214" t="s">
        <v>2060</v>
      </c>
      <c r="C214" t="s">
        <v>2069</v>
      </c>
      <c r="D214" t="s">
        <v>2091</v>
      </c>
      <c r="E214" t="s">
        <v>2092</v>
      </c>
      <c r="F214">
        <v>15</v>
      </c>
    </row>
    <row r="215" spans="1:6" x14ac:dyDescent="0.25">
      <c r="A215" t="s">
        <v>2088</v>
      </c>
      <c r="D215" t="s">
        <v>2089</v>
      </c>
      <c r="E215" t="s">
        <v>2090</v>
      </c>
      <c r="F215">
        <v>15</v>
      </c>
    </row>
    <row r="216" spans="1:6" x14ac:dyDescent="0.25">
      <c r="A216" t="s">
        <v>2093</v>
      </c>
      <c r="C216" t="s">
        <v>2096</v>
      </c>
      <c r="D216" t="s">
        <v>2094</v>
      </c>
      <c r="E216" t="s">
        <v>2095</v>
      </c>
      <c r="F216">
        <v>15</v>
      </c>
    </row>
    <row r="217" spans="1:6" x14ac:dyDescent="0.25">
      <c r="A217" t="s">
        <v>2099</v>
      </c>
      <c r="C217" t="s">
        <v>2100</v>
      </c>
      <c r="D217" t="s">
        <v>2098</v>
      </c>
      <c r="E217" t="s">
        <v>2101</v>
      </c>
      <c r="F217">
        <v>15</v>
      </c>
    </row>
    <row r="218" spans="1:6" x14ac:dyDescent="0.25">
      <c r="A218" t="s">
        <v>2134</v>
      </c>
      <c r="C218" t="s">
        <v>2133</v>
      </c>
      <c r="D218" t="s">
        <v>2132</v>
      </c>
      <c r="E218" t="s">
        <v>92</v>
      </c>
      <c r="F218">
        <v>15</v>
      </c>
    </row>
    <row r="219" spans="1:6" x14ac:dyDescent="0.25">
      <c r="A219" t="s">
        <v>2139</v>
      </c>
      <c r="C219" t="s">
        <v>2142</v>
      </c>
      <c r="D219" t="s">
        <v>2137</v>
      </c>
      <c r="E219" t="s">
        <v>2138</v>
      </c>
      <c r="F219">
        <v>15</v>
      </c>
    </row>
    <row r="220" spans="1:6" x14ac:dyDescent="0.25">
      <c r="A220" t="s">
        <v>2143</v>
      </c>
      <c r="C220" t="s">
        <v>2145</v>
      </c>
      <c r="D220" t="s">
        <v>2144</v>
      </c>
      <c r="E220" t="s">
        <v>2146</v>
      </c>
      <c r="F220">
        <v>15</v>
      </c>
    </row>
    <row r="221" spans="1:6" x14ac:dyDescent="0.25">
      <c r="A221" t="s">
        <v>2157</v>
      </c>
      <c r="C221" t="s">
        <v>2158</v>
      </c>
      <c r="D221" t="s">
        <v>2159</v>
      </c>
      <c r="E221" t="s">
        <v>2160</v>
      </c>
      <c r="F221">
        <v>15</v>
      </c>
    </row>
  </sheetData>
  <hyperlinks>
    <hyperlink ref="A4" r:id="rId1" xr:uid="{9EF145C3-3EC2-4A0F-A563-C3306DEFCF96}"/>
    <hyperlink ref="A5" r:id="rId2" xr:uid="{03E8CFBD-270D-4C5D-B40C-1FE59DE46F8E}"/>
    <hyperlink ref="C131" r:id="rId3" xr:uid="{9C0A6348-3E79-4242-92EA-06DD108068D0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C869-7238-4CBD-AF9C-2A49F849585B}">
  <sheetPr codeName="Лист2"/>
  <dimension ref="A1:D433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D3" sqref="D3"/>
    </sheetView>
  </sheetViews>
  <sheetFormatPr defaultRowHeight="15" x14ac:dyDescent="0.25"/>
  <cols>
    <col min="1" max="1" width="10.140625" bestFit="1" customWidth="1"/>
    <col min="2" max="2" width="12.5703125" style="1" bestFit="1" customWidth="1"/>
    <col min="3" max="3" width="26.5703125" style="1" bestFit="1" customWidth="1"/>
    <col min="5" max="5" width="10.28515625" bestFit="1" customWidth="1"/>
  </cols>
  <sheetData>
    <row r="1" spans="1:4" x14ac:dyDescent="0.25">
      <c r="A1" t="s">
        <v>512</v>
      </c>
      <c r="B1" s="1" t="s">
        <v>513</v>
      </c>
      <c r="C1" s="1" t="s">
        <v>2175</v>
      </c>
      <c r="D1" t="s">
        <v>3</v>
      </c>
    </row>
    <row r="2" spans="1:4" x14ac:dyDescent="0.25">
      <c r="A2">
        <v>1</v>
      </c>
      <c r="B2" s="1">
        <v>45361</v>
      </c>
      <c r="C2" s="1" t="s">
        <v>2176</v>
      </c>
      <c r="D2">
        <v>15</v>
      </c>
    </row>
    <row r="3" spans="1:4" x14ac:dyDescent="0.25">
      <c r="A3">
        <f t="shared" ref="A3:A50" si="0">A2+1</f>
        <v>2</v>
      </c>
      <c r="B3" s="1">
        <v>45361</v>
      </c>
      <c r="C3" s="1" t="s">
        <v>2177</v>
      </c>
      <c r="D3">
        <v>10</v>
      </c>
    </row>
    <row r="4" spans="1:4" x14ac:dyDescent="0.25">
      <c r="A4">
        <f t="shared" si="0"/>
        <v>3</v>
      </c>
      <c r="B4" s="1">
        <v>45361</v>
      </c>
      <c r="C4" s="1" t="s">
        <v>2178</v>
      </c>
      <c r="D4">
        <v>15</v>
      </c>
    </row>
    <row r="5" spans="1:4" x14ac:dyDescent="0.25">
      <c r="A5">
        <f t="shared" si="0"/>
        <v>4</v>
      </c>
      <c r="B5" s="1">
        <v>45361</v>
      </c>
      <c r="C5" s="1" t="s">
        <v>2179</v>
      </c>
      <c r="D5">
        <v>15</v>
      </c>
    </row>
    <row r="6" spans="1:4" x14ac:dyDescent="0.25">
      <c r="A6">
        <f t="shared" si="0"/>
        <v>5</v>
      </c>
      <c r="B6" s="1">
        <v>45365</v>
      </c>
      <c r="C6" s="1" t="s">
        <v>2180</v>
      </c>
      <c r="D6">
        <v>15</v>
      </c>
    </row>
    <row r="7" spans="1:4" x14ac:dyDescent="0.25">
      <c r="A7">
        <f t="shared" si="0"/>
        <v>6</v>
      </c>
      <c r="B7" s="1">
        <v>45365</v>
      </c>
      <c r="C7" s="1" t="s">
        <v>2181</v>
      </c>
      <c r="D7">
        <v>15</v>
      </c>
    </row>
    <row r="8" spans="1:4" x14ac:dyDescent="0.25">
      <c r="A8">
        <f t="shared" si="0"/>
        <v>7</v>
      </c>
      <c r="B8" s="1">
        <v>45367</v>
      </c>
      <c r="C8" s="1" t="s">
        <v>2182</v>
      </c>
      <c r="D8">
        <v>15</v>
      </c>
    </row>
    <row r="9" spans="1:4" x14ac:dyDescent="0.25">
      <c r="A9">
        <f t="shared" si="0"/>
        <v>8</v>
      </c>
      <c r="B9" s="1">
        <v>45367</v>
      </c>
      <c r="C9" s="1" t="s">
        <v>2183</v>
      </c>
      <c r="D9">
        <v>15</v>
      </c>
    </row>
    <row r="10" spans="1:4" x14ac:dyDescent="0.25">
      <c r="A10">
        <f t="shared" si="0"/>
        <v>9</v>
      </c>
      <c r="B10" s="1">
        <v>45367</v>
      </c>
      <c r="C10" s="1" t="s">
        <v>2176</v>
      </c>
      <c r="D10">
        <v>15</v>
      </c>
    </row>
    <row r="11" spans="1:4" x14ac:dyDescent="0.25">
      <c r="A11">
        <f t="shared" si="0"/>
        <v>10</v>
      </c>
      <c r="B11" s="1">
        <v>45368</v>
      </c>
      <c r="C11" s="1" t="s">
        <v>2182</v>
      </c>
      <c r="D11">
        <v>15</v>
      </c>
    </row>
    <row r="12" spans="1:4" x14ac:dyDescent="0.25">
      <c r="A12">
        <f t="shared" si="0"/>
        <v>11</v>
      </c>
      <c r="B12" s="1">
        <v>45368</v>
      </c>
      <c r="C12" s="1" t="s">
        <v>2184</v>
      </c>
      <c r="D12">
        <v>15</v>
      </c>
    </row>
    <row r="13" spans="1:4" x14ac:dyDescent="0.25">
      <c r="A13">
        <f t="shared" si="0"/>
        <v>12</v>
      </c>
      <c r="B13" s="1">
        <v>45368</v>
      </c>
      <c r="C13" s="1" t="s">
        <v>2185</v>
      </c>
      <c r="D13">
        <v>15</v>
      </c>
    </row>
    <row r="14" spans="1:4" x14ac:dyDescent="0.25">
      <c r="A14">
        <f t="shared" si="0"/>
        <v>13</v>
      </c>
      <c r="B14" s="1">
        <v>45369</v>
      </c>
      <c r="C14" s="1" t="s">
        <v>2178</v>
      </c>
      <c r="D14">
        <v>10</v>
      </c>
    </row>
    <row r="15" spans="1:4" x14ac:dyDescent="0.25">
      <c r="A15">
        <f t="shared" si="0"/>
        <v>14</v>
      </c>
      <c r="B15" s="1">
        <v>45369</v>
      </c>
      <c r="C15" s="1" t="s">
        <v>2186</v>
      </c>
      <c r="D15">
        <v>15</v>
      </c>
    </row>
    <row r="16" spans="1:4" x14ac:dyDescent="0.25">
      <c r="A16">
        <f t="shared" si="0"/>
        <v>15</v>
      </c>
      <c r="B16" s="1">
        <v>45370</v>
      </c>
      <c r="C16" s="1" t="s">
        <v>2187</v>
      </c>
      <c r="D16">
        <v>15</v>
      </c>
    </row>
    <row r="17" spans="1:4" x14ac:dyDescent="0.25">
      <c r="A17">
        <f t="shared" si="0"/>
        <v>16</v>
      </c>
      <c r="B17" s="1">
        <v>45371</v>
      </c>
      <c r="C17" s="1" t="s">
        <v>2177</v>
      </c>
      <c r="D17">
        <v>10</v>
      </c>
    </row>
    <row r="18" spans="1:4" x14ac:dyDescent="0.25">
      <c r="A18">
        <f t="shared" si="0"/>
        <v>17</v>
      </c>
      <c r="B18" s="1">
        <v>45434</v>
      </c>
      <c r="C18" s="1" t="s">
        <v>2179</v>
      </c>
      <c r="D18">
        <v>15</v>
      </c>
    </row>
    <row r="19" spans="1:4" x14ac:dyDescent="0.25">
      <c r="A19">
        <f t="shared" si="0"/>
        <v>18</v>
      </c>
      <c r="B19" s="1">
        <v>45374</v>
      </c>
      <c r="C19" s="1" t="s">
        <v>2188</v>
      </c>
      <c r="D19">
        <v>15</v>
      </c>
    </row>
    <row r="20" spans="1:4" x14ac:dyDescent="0.25">
      <c r="A20">
        <f t="shared" si="0"/>
        <v>19</v>
      </c>
      <c r="B20" s="1">
        <v>45374</v>
      </c>
      <c r="C20" s="1" t="s">
        <v>2189</v>
      </c>
      <c r="D20">
        <v>15</v>
      </c>
    </row>
    <row r="21" spans="1:4" x14ac:dyDescent="0.25">
      <c r="A21">
        <f t="shared" si="0"/>
        <v>20</v>
      </c>
      <c r="B21" s="1">
        <v>45436</v>
      </c>
      <c r="C21" s="1" t="s">
        <v>2190</v>
      </c>
      <c r="D21">
        <v>15</v>
      </c>
    </row>
    <row r="22" spans="1:4" x14ac:dyDescent="0.25">
      <c r="A22">
        <f t="shared" si="0"/>
        <v>21</v>
      </c>
      <c r="B22" s="1">
        <v>45375</v>
      </c>
      <c r="C22" s="1" t="s">
        <v>2191</v>
      </c>
      <c r="D22">
        <v>15</v>
      </c>
    </row>
    <row r="23" spans="1:4" x14ac:dyDescent="0.25">
      <c r="A23">
        <f t="shared" si="0"/>
        <v>22</v>
      </c>
      <c r="B23" s="1">
        <v>45376</v>
      </c>
      <c r="C23" s="1" t="s">
        <v>2192</v>
      </c>
      <c r="D23">
        <v>15</v>
      </c>
    </row>
    <row r="24" spans="1:4" x14ac:dyDescent="0.25">
      <c r="A24">
        <f t="shared" si="0"/>
        <v>23</v>
      </c>
      <c r="B24" s="1">
        <v>45376</v>
      </c>
      <c r="C24" s="1" t="s">
        <v>2193</v>
      </c>
      <c r="D24">
        <v>15</v>
      </c>
    </row>
    <row r="25" spans="1:4" x14ac:dyDescent="0.25">
      <c r="A25">
        <f t="shared" si="0"/>
        <v>24</v>
      </c>
      <c r="B25" s="1">
        <v>45376</v>
      </c>
      <c r="C25" s="1" t="s">
        <v>2176</v>
      </c>
      <c r="D25">
        <v>15</v>
      </c>
    </row>
    <row r="26" spans="1:4" x14ac:dyDescent="0.25">
      <c r="A26">
        <f t="shared" si="0"/>
        <v>25</v>
      </c>
      <c r="B26" s="1">
        <v>45376</v>
      </c>
      <c r="C26" s="1" t="s">
        <v>2194</v>
      </c>
      <c r="D26">
        <v>15</v>
      </c>
    </row>
    <row r="27" spans="1:4" x14ac:dyDescent="0.25">
      <c r="A27">
        <f t="shared" si="0"/>
        <v>26</v>
      </c>
      <c r="B27" s="1">
        <v>45374</v>
      </c>
      <c r="C27" s="1" t="s">
        <v>2195</v>
      </c>
      <c r="D27">
        <v>15</v>
      </c>
    </row>
    <row r="28" spans="1:4" x14ac:dyDescent="0.25">
      <c r="A28">
        <f t="shared" si="0"/>
        <v>27</v>
      </c>
      <c r="B28" s="1">
        <v>45374</v>
      </c>
      <c r="C28" s="1" t="s">
        <v>2196</v>
      </c>
      <c r="D28">
        <v>10</v>
      </c>
    </row>
    <row r="29" spans="1:4" x14ac:dyDescent="0.25">
      <c r="A29">
        <f t="shared" si="0"/>
        <v>28</v>
      </c>
      <c r="B29" s="1">
        <v>45376</v>
      </c>
      <c r="C29" s="1" t="s">
        <v>2197</v>
      </c>
      <c r="D29">
        <v>15</v>
      </c>
    </row>
    <row r="30" spans="1:4" x14ac:dyDescent="0.25">
      <c r="A30">
        <f t="shared" si="0"/>
        <v>29</v>
      </c>
      <c r="B30" s="1">
        <v>45377</v>
      </c>
      <c r="C30" s="1" t="s">
        <v>2189</v>
      </c>
      <c r="D30">
        <v>15</v>
      </c>
    </row>
    <row r="31" spans="1:4" x14ac:dyDescent="0.25">
      <c r="A31">
        <f t="shared" si="0"/>
        <v>30</v>
      </c>
      <c r="B31" s="1">
        <v>45376</v>
      </c>
      <c r="C31" s="1" t="s">
        <v>2198</v>
      </c>
      <c r="D31">
        <v>15</v>
      </c>
    </row>
    <row r="32" spans="1:4" x14ac:dyDescent="0.25">
      <c r="A32">
        <f t="shared" si="0"/>
        <v>31</v>
      </c>
      <c r="B32" s="1">
        <v>45378</v>
      </c>
      <c r="C32" s="1" t="s">
        <v>2192</v>
      </c>
      <c r="D32">
        <v>15</v>
      </c>
    </row>
    <row r="33" spans="1:4" x14ac:dyDescent="0.25">
      <c r="A33">
        <f t="shared" si="0"/>
        <v>32</v>
      </c>
      <c r="B33" s="1">
        <v>45379</v>
      </c>
      <c r="C33" s="1" t="s">
        <v>2199</v>
      </c>
      <c r="D33">
        <v>15</v>
      </c>
    </row>
    <row r="34" spans="1:4" x14ac:dyDescent="0.25">
      <c r="A34">
        <f t="shared" si="0"/>
        <v>33</v>
      </c>
      <c r="B34" s="1">
        <v>45379</v>
      </c>
      <c r="C34" s="1" t="s">
        <v>2177</v>
      </c>
      <c r="D34">
        <v>10</v>
      </c>
    </row>
    <row r="35" spans="1:4" x14ac:dyDescent="0.25">
      <c r="A35">
        <f t="shared" si="0"/>
        <v>34</v>
      </c>
      <c r="B35" s="1">
        <v>45382</v>
      </c>
      <c r="C35" s="1" t="s">
        <v>2180</v>
      </c>
      <c r="D35">
        <v>15</v>
      </c>
    </row>
    <row r="36" spans="1:4" x14ac:dyDescent="0.25">
      <c r="A36">
        <f>A35+1</f>
        <v>35</v>
      </c>
      <c r="B36" s="1">
        <v>45380</v>
      </c>
      <c r="C36" s="1" t="s">
        <v>2200</v>
      </c>
      <c r="D36">
        <v>10</v>
      </c>
    </row>
    <row r="37" spans="1:4" x14ac:dyDescent="0.25">
      <c r="A37">
        <f t="shared" si="0"/>
        <v>36</v>
      </c>
      <c r="B37" s="1">
        <v>45380</v>
      </c>
      <c r="C37" s="1" t="s">
        <v>2192</v>
      </c>
      <c r="D37">
        <v>15</v>
      </c>
    </row>
    <row r="38" spans="1:4" x14ac:dyDescent="0.25">
      <c r="A38">
        <f t="shared" si="0"/>
        <v>37</v>
      </c>
      <c r="B38" s="1">
        <v>45381</v>
      </c>
      <c r="C38" s="1" t="s">
        <v>2178</v>
      </c>
      <c r="D38">
        <v>15</v>
      </c>
    </row>
    <row r="39" spans="1:4" x14ac:dyDescent="0.25">
      <c r="A39">
        <f t="shared" si="0"/>
        <v>38</v>
      </c>
      <c r="B39" s="1">
        <v>45381</v>
      </c>
      <c r="C39" s="1" t="s">
        <v>2197</v>
      </c>
      <c r="D39">
        <v>15</v>
      </c>
    </row>
    <row r="40" spans="1:4" x14ac:dyDescent="0.25">
      <c r="A40">
        <f t="shared" si="0"/>
        <v>39</v>
      </c>
      <c r="B40" s="1">
        <v>45381</v>
      </c>
      <c r="C40" s="1" t="s">
        <v>2194</v>
      </c>
      <c r="D40">
        <v>15</v>
      </c>
    </row>
    <row r="41" spans="1:4" x14ac:dyDescent="0.25">
      <c r="A41">
        <f t="shared" si="0"/>
        <v>40</v>
      </c>
      <c r="B41" s="1">
        <v>45381</v>
      </c>
      <c r="C41" s="1" t="s">
        <v>2190</v>
      </c>
      <c r="D41">
        <v>10</v>
      </c>
    </row>
    <row r="42" spans="1:4" x14ac:dyDescent="0.25">
      <c r="A42">
        <f t="shared" si="0"/>
        <v>41</v>
      </c>
      <c r="B42" s="1">
        <v>45381</v>
      </c>
      <c r="C42" s="1" t="s">
        <v>2185</v>
      </c>
      <c r="D42">
        <v>15</v>
      </c>
    </row>
    <row r="43" spans="1:4" x14ac:dyDescent="0.25">
      <c r="A43">
        <f t="shared" si="0"/>
        <v>42</v>
      </c>
      <c r="B43" s="1">
        <v>45381</v>
      </c>
      <c r="C43" s="1" t="s">
        <v>2177</v>
      </c>
      <c r="D43">
        <v>10</v>
      </c>
    </row>
    <row r="44" spans="1:4" x14ac:dyDescent="0.25">
      <c r="A44">
        <f t="shared" si="0"/>
        <v>43</v>
      </c>
      <c r="B44" s="1">
        <v>45383</v>
      </c>
      <c r="C44" s="1" t="s">
        <v>2201</v>
      </c>
      <c r="D44">
        <v>15</v>
      </c>
    </row>
    <row r="45" spans="1:4" x14ac:dyDescent="0.25">
      <c r="A45">
        <f t="shared" si="0"/>
        <v>44</v>
      </c>
      <c r="B45" s="1">
        <v>45387</v>
      </c>
      <c r="C45" s="1" t="s">
        <v>2202</v>
      </c>
      <c r="D45">
        <v>15</v>
      </c>
    </row>
    <row r="46" spans="1:4" x14ac:dyDescent="0.25">
      <c r="A46">
        <f t="shared" si="0"/>
        <v>45</v>
      </c>
      <c r="B46" s="1">
        <v>45387</v>
      </c>
      <c r="C46" s="1" t="s">
        <v>2178</v>
      </c>
      <c r="D46">
        <v>15</v>
      </c>
    </row>
    <row r="47" spans="1:4" x14ac:dyDescent="0.25">
      <c r="A47">
        <f t="shared" si="0"/>
        <v>46</v>
      </c>
      <c r="B47" s="1">
        <v>45387</v>
      </c>
      <c r="C47" s="1" t="s">
        <v>2203</v>
      </c>
      <c r="D47">
        <v>10</v>
      </c>
    </row>
    <row r="48" spans="1:4" x14ac:dyDescent="0.25">
      <c r="A48">
        <f t="shared" si="0"/>
        <v>47</v>
      </c>
      <c r="B48" s="1">
        <v>45387</v>
      </c>
      <c r="C48" s="1" t="s">
        <v>2204</v>
      </c>
      <c r="D48">
        <v>10</v>
      </c>
    </row>
    <row r="49" spans="1:4" x14ac:dyDescent="0.25">
      <c r="A49">
        <f t="shared" si="0"/>
        <v>48</v>
      </c>
      <c r="B49" s="1">
        <v>45387</v>
      </c>
      <c r="C49" s="1" t="s">
        <v>2200</v>
      </c>
      <c r="D49">
        <v>10</v>
      </c>
    </row>
    <row r="50" spans="1:4" x14ac:dyDescent="0.25">
      <c r="A50">
        <f t="shared" si="0"/>
        <v>49</v>
      </c>
      <c r="B50" s="1">
        <v>45388</v>
      </c>
      <c r="C50" s="1" t="s">
        <v>2194</v>
      </c>
      <c r="D50">
        <v>15</v>
      </c>
    </row>
    <row r="51" spans="1:4" x14ac:dyDescent="0.25">
      <c r="A51">
        <f>A50+1</f>
        <v>50</v>
      </c>
      <c r="B51" s="1">
        <v>45388</v>
      </c>
      <c r="C51" s="1" t="s">
        <v>2179</v>
      </c>
      <c r="D51">
        <v>15</v>
      </c>
    </row>
    <row r="52" spans="1:4" x14ac:dyDescent="0.25">
      <c r="A52">
        <f t="shared" ref="A52:A115" si="1">A51+1</f>
        <v>51</v>
      </c>
      <c r="B52" s="1">
        <v>45388</v>
      </c>
      <c r="C52" s="1" t="s">
        <v>2177</v>
      </c>
      <c r="D52">
        <v>10</v>
      </c>
    </row>
    <row r="53" spans="1:4" x14ac:dyDescent="0.25">
      <c r="A53">
        <f t="shared" si="1"/>
        <v>52</v>
      </c>
      <c r="B53" s="1">
        <v>45390</v>
      </c>
      <c r="C53" s="1" t="s">
        <v>2185</v>
      </c>
      <c r="D53">
        <v>15</v>
      </c>
    </row>
    <row r="54" spans="1:4" x14ac:dyDescent="0.25">
      <c r="A54">
        <f t="shared" si="1"/>
        <v>53</v>
      </c>
      <c r="B54" s="1">
        <v>45390</v>
      </c>
      <c r="C54" s="1" t="s">
        <v>2190</v>
      </c>
      <c r="D54">
        <v>15</v>
      </c>
    </row>
    <row r="55" spans="1:4" x14ac:dyDescent="0.25">
      <c r="A55">
        <f t="shared" si="1"/>
        <v>54</v>
      </c>
      <c r="B55" s="1">
        <v>45391</v>
      </c>
      <c r="C55" s="1" t="s">
        <v>2194</v>
      </c>
      <c r="D55">
        <v>15</v>
      </c>
    </row>
    <row r="56" spans="1:4" x14ac:dyDescent="0.25">
      <c r="A56">
        <f t="shared" si="1"/>
        <v>55</v>
      </c>
      <c r="B56" s="1">
        <v>45391</v>
      </c>
      <c r="C56" s="1" t="s">
        <v>2205</v>
      </c>
      <c r="D56">
        <v>15</v>
      </c>
    </row>
    <row r="57" spans="1:4" x14ac:dyDescent="0.25">
      <c r="A57">
        <f t="shared" si="1"/>
        <v>56</v>
      </c>
      <c r="B57" s="1">
        <v>45392</v>
      </c>
      <c r="C57" s="1" t="s">
        <v>2190</v>
      </c>
      <c r="D57">
        <v>15</v>
      </c>
    </row>
    <row r="58" spans="1:4" x14ac:dyDescent="0.25">
      <c r="A58">
        <f t="shared" si="1"/>
        <v>57</v>
      </c>
      <c r="B58" s="1">
        <v>45392</v>
      </c>
      <c r="C58" s="1" t="s">
        <v>2179</v>
      </c>
      <c r="D58">
        <v>15</v>
      </c>
    </row>
    <row r="59" spans="1:4" x14ac:dyDescent="0.25">
      <c r="A59">
        <f t="shared" si="1"/>
        <v>58</v>
      </c>
      <c r="B59" s="1">
        <v>45393</v>
      </c>
      <c r="C59" s="1" t="s">
        <v>2194</v>
      </c>
      <c r="D59">
        <v>10</v>
      </c>
    </row>
    <row r="60" spans="1:4" x14ac:dyDescent="0.25">
      <c r="A60">
        <f t="shared" si="1"/>
        <v>59</v>
      </c>
      <c r="B60" s="1">
        <v>45394</v>
      </c>
      <c r="C60" s="1" t="s">
        <v>2194</v>
      </c>
      <c r="D60">
        <v>10</v>
      </c>
    </row>
    <row r="61" spans="1:4" x14ac:dyDescent="0.25">
      <c r="A61">
        <f t="shared" si="1"/>
        <v>60</v>
      </c>
      <c r="B61" s="1">
        <v>45395</v>
      </c>
      <c r="C61" s="1" t="s">
        <v>2206</v>
      </c>
      <c r="D61">
        <v>15</v>
      </c>
    </row>
    <row r="62" spans="1:4" x14ac:dyDescent="0.25">
      <c r="A62">
        <f t="shared" si="1"/>
        <v>61</v>
      </c>
      <c r="B62" s="1">
        <v>45400</v>
      </c>
      <c r="C62" s="1" t="s">
        <v>2207</v>
      </c>
      <c r="D62">
        <v>15</v>
      </c>
    </row>
    <row r="63" spans="1:4" x14ac:dyDescent="0.25">
      <c r="A63">
        <f t="shared" si="1"/>
        <v>62</v>
      </c>
      <c r="B63" s="1">
        <v>45394</v>
      </c>
      <c r="C63" s="1" t="s">
        <v>2208</v>
      </c>
      <c r="D63">
        <v>15</v>
      </c>
    </row>
    <row r="64" spans="1:4" x14ac:dyDescent="0.25">
      <c r="A64">
        <f t="shared" si="1"/>
        <v>63</v>
      </c>
      <c r="B64" s="1">
        <v>45397</v>
      </c>
      <c r="C64" s="1" t="s">
        <v>2194</v>
      </c>
      <c r="D64">
        <v>15</v>
      </c>
    </row>
    <row r="65" spans="1:4" x14ac:dyDescent="0.25">
      <c r="A65">
        <f t="shared" si="1"/>
        <v>64</v>
      </c>
      <c r="B65" s="1">
        <v>45398</v>
      </c>
      <c r="C65" s="1" t="s">
        <v>2209</v>
      </c>
      <c r="D65">
        <v>15</v>
      </c>
    </row>
    <row r="66" spans="1:4" x14ac:dyDescent="0.25">
      <c r="A66">
        <f t="shared" si="1"/>
        <v>65</v>
      </c>
      <c r="B66" s="1">
        <v>45400</v>
      </c>
      <c r="C66" s="1" t="s">
        <v>2179</v>
      </c>
      <c r="D66">
        <v>15</v>
      </c>
    </row>
    <row r="67" spans="1:4" x14ac:dyDescent="0.25">
      <c r="A67">
        <f t="shared" si="1"/>
        <v>66</v>
      </c>
      <c r="B67" s="1">
        <v>45400</v>
      </c>
      <c r="C67" s="1" t="s">
        <v>2190</v>
      </c>
      <c r="D67">
        <v>15</v>
      </c>
    </row>
    <row r="68" spans="1:4" x14ac:dyDescent="0.25">
      <c r="A68">
        <f t="shared" si="1"/>
        <v>67</v>
      </c>
      <c r="B68" s="1">
        <v>45401</v>
      </c>
      <c r="C68" s="1" t="s">
        <v>2210</v>
      </c>
      <c r="D68">
        <v>15</v>
      </c>
    </row>
    <row r="69" spans="1:4" x14ac:dyDescent="0.25">
      <c r="A69">
        <f t="shared" si="1"/>
        <v>68</v>
      </c>
      <c r="B69" s="1">
        <v>45401</v>
      </c>
      <c r="C69" s="1" t="s">
        <v>2176</v>
      </c>
      <c r="D69">
        <v>15</v>
      </c>
    </row>
    <row r="70" spans="1:4" x14ac:dyDescent="0.25">
      <c r="A70">
        <f t="shared" si="1"/>
        <v>69</v>
      </c>
      <c r="B70" s="1">
        <v>45402</v>
      </c>
      <c r="C70" s="1" t="s">
        <v>2194</v>
      </c>
      <c r="D70">
        <v>15</v>
      </c>
    </row>
    <row r="71" spans="1:4" x14ac:dyDescent="0.25">
      <c r="A71">
        <f t="shared" si="1"/>
        <v>70</v>
      </c>
      <c r="B71" s="1">
        <v>45443</v>
      </c>
      <c r="C71" s="1" t="s">
        <v>2190</v>
      </c>
      <c r="D71">
        <v>15</v>
      </c>
    </row>
    <row r="72" spans="1:4" x14ac:dyDescent="0.25">
      <c r="A72">
        <f t="shared" si="1"/>
        <v>71</v>
      </c>
      <c r="B72" s="1">
        <v>45405</v>
      </c>
      <c r="C72" s="1" t="s">
        <v>2186</v>
      </c>
      <c r="D72">
        <v>15</v>
      </c>
    </row>
    <row r="73" spans="1:4" x14ac:dyDescent="0.25">
      <c r="A73">
        <f t="shared" si="1"/>
        <v>72</v>
      </c>
      <c r="B73" s="1">
        <v>45407</v>
      </c>
      <c r="C73" s="1" t="s">
        <v>2187</v>
      </c>
      <c r="D73">
        <v>15</v>
      </c>
    </row>
    <row r="74" spans="1:4" x14ac:dyDescent="0.25">
      <c r="A74">
        <f t="shared" si="1"/>
        <v>73</v>
      </c>
      <c r="B74" s="1">
        <v>45408</v>
      </c>
      <c r="C74" s="1" t="s">
        <v>2200</v>
      </c>
      <c r="D74">
        <v>10</v>
      </c>
    </row>
    <row r="75" spans="1:4" x14ac:dyDescent="0.25">
      <c r="A75">
        <f t="shared" si="1"/>
        <v>74</v>
      </c>
      <c r="B75" s="1">
        <v>45408</v>
      </c>
      <c r="C75" s="1" t="s">
        <v>2208</v>
      </c>
      <c r="D75">
        <v>15</v>
      </c>
    </row>
    <row r="76" spans="1:4" x14ac:dyDescent="0.25">
      <c r="A76">
        <f t="shared" si="1"/>
        <v>75</v>
      </c>
      <c r="B76" s="1">
        <v>45405</v>
      </c>
      <c r="C76" s="1" t="s">
        <v>2209</v>
      </c>
      <c r="D76">
        <v>15</v>
      </c>
    </row>
    <row r="77" spans="1:4" x14ac:dyDescent="0.25">
      <c r="A77">
        <f t="shared" si="1"/>
        <v>76</v>
      </c>
      <c r="B77" s="1">
        <v>45408</v>
      </c>
      <c r="C77" s="1" t="s">
        <v>2194</v>
      </c>
      <c r="D77">
        <v>15</v>
      </c>
    </row>
    <row r="78" spans="1:4" x14ac:dyDescent="0.25">
      <c r="A78">
        <f t="shared" si="1"/>
        <v>77</v>
      </c>
      <c r="B78" s="1">
        <v>45409</v>
      </c>
      <c r="C78" s="1" t="s">
        <v>2201</v>
      </c>
      <c r="D78">
        <v>15</v>
      </c>
    </row>
    <row r="79" spans="1:4" x14ac:dyDescent="0.25">
      <c r="A79">
        <f t="shared" si="1"/>
        <v>78</v>
      </c>
      <c r="B79" s="1">
        <v>45409</v>
      </c>
      <c r="C79" s="1" t="s">
        <v>2211</v>
      </c>
      <c r="D79">
        <v>15</v>
      </c>
    </row>
    <row r="80" spans="1:4" x14ac:dyDescent="0.25">
      <c r="A80">
        <f t="shared" si="1"/>
        <v>79</v>
      </c>
      <c r="B80" s="1">
        <v>45410</v>
      </c>
      <c r="C80" s="1" t="s">
        <v>2189</v>
      </c>
      <c r="D80">
        <v>15</v>
      </c>
    </row>
    <row r="81" spans="1:4" x14ac:dyDescent="0.25">
      <c r="A81">
        <f t="shared" si="1"/>
        <v>80</v>
      </c>
      <c r="B81" s="1">
        <v>45412</v>
      </c>
      <c r="C81" s="1" t="s">
        <v>2179</v>
      </c>
      <c r="D81">
        <v>15</v>
      </c>
    </row>
    <row r="82" spans="1:4" x14ac:dyDescent="0.25">
      <c r="A82">
        <f t="shared" si="1"/>
        <v>81</v>
      </c>
      <c r="B82" s="1">
        <v>45415</v>
      </c>
      <c r="C82" s="1" t="s">
        <v>2212</v>
      </c>
      <c r="D82">
        <v>15</v>
      </c>
    </row>
    <row r="83" spans="1:4" x14ac:dyDescent="0.25">
      <c r="A83">
        <f t="shared" si="1"/>
        <v>82</v>
      </c>
      <c r="B83" s="1">
        <v>45415</v>
      </c>
      <c r="C83" s="1" t="s">
        <v>2194</v>
      </c>
      <c r="D83">
        <v>15</v>
      </c>
    </row>
    <row r="84" spans="1:4" x14ac:dyDescent="0.25">
      <c r="A84">
        <f t="shared" si="1"/>
        <v>83</v>
      </c>
      <c r="B84" s="1">
        <v>45415</v>
      </c>
      <c r="C84" s="1" t="s">
        <v>2177</v>
      </c>
      <c r="D84">
        <v>10</v>
      </c>
    </row>
    <row r="85" spans="1:4" x14ac:dyDescent="0.25">
      <c r="A85">
        <f t="shared" si="1"/>
        <v>84</v>
      </c>
      <c r="B85" s="1">
        <v>45416</v>
      </c>
      <c r="C85" s="1" t="s">
        <v>2200</v>
      </c>
      <c r="D85">
        <v>10</v>
      </c>
    </row>
    <row r="86" spans="1:4" x14ac:dyDescent="0.25">
      <c r="A86">
        <f t="shared" si="1"/>
        <v>85</v>
      </c>
      <c r="B86" s="1">
        <v>45416</v>
      </c>
      <c r="C86" s="1" t="s">
        <v>2213</v>
      </c>
      <c r="D86">
        <v>15</v>
      </c>
    </row>
    <row r="87" spans="1:4" x14ac:dyDescent="0.25">
      <c r="A87">
        <f t="shared" si="1"/>
        <v>86</v>
      </c>
      <c r="B87" s="1">
        <v>45418</v>
      </c>
      <c r="C87" s="1" t="s">
        <v>2189</v>
      </c>
      <c r="D87">
        <v>15</v>
      </c>
    </row>
    <row r="88" spans="1:4" x14ac:dyDescent="0.25">
      <c r="A88">
        <f t="shared" si="1"/>
        <v>87</v>
      </c>
      <c r="B88" s="1">
        <v>45418</v>
      </c>
      <c r="C88" s="1" t="s">
        <v>2214</v>
      </c>
      <c r="D88">
        <v>15</v>
      </c>
    </row>
    <row r="89" spans="1:4" x14ac:dyDescent="0.25">
      <c r="A89">
        <f t="shared" si="1"/>
        <v>88</v>
      </c>
      <c r="B89" s="1">
        <v>45418</v>
      </c>
      <c r="C89" s="1" t="s">
        <v>2194</v>
      </c>
      <c r="D89">
        <v>10</v>
      </c>
    </row>
    <row r="90" spans="1:4" x14ac:dyDescent="0.25">
      <c r="A90">
        <f t="shared" si="1"/>
        <v>89</v>
      </c>
      <c r="B90" s="1">
        <v>45419</v>
      </c>
      <c r="C90" s="1" t="s">
        <v>2203</v>
      </c>
      <c r="D90">
        <v>10</v>
      </c>
    </row>
    <row r="91" spans="1:4" x14ac:dyDescent="0.25">
      <c r="A91">
        <f t="shared" si="1"/>
        <v>90</v>
      </c>
      <c r="B91" s="1">
        <v>45416</v>
      </c>
      <c r="C91" s="1" t="s">
        <v>2215</v>
      </c>
      <c r="D91">
        <v>10</v>
      </c>
    </row>
    <row r="92" spans="1:4" x14ac:dyDescent="0.25">
      <c r="A92">
        <f t="shared" si="1"/>
        <v>91</v>
      </c>
      <c r="B92" s="1">
        <v>45422</v>
      </c>
      <c r="C92" s="1" t="s">
        <v>2179</v>
      </c>
      <c r="D92">
        <v>15</v>
      </c>
    </row>
    <row r="93" spans="1:4" x14ac:dyDescent="0.25">
      <c r="A93">
        <f t="shared" si="1"/>
        <v>92</v>
      </c>
      <c r="B93" s="1">
        <v>45422</v>
      </c>
      <c r="C93" s="1" t="s">
        <v>2211</v>
      </c>
      <c r="D93">
        <v>15</v>
      </c>
    </row>
    <row r="94" spans="1:4" x14ac:dyDescent="0.25">
      <c r="A94">
        <f t="shared" si="1"/>
        <v>93</v>
      </c>
      <c r="B94" s="1">
        <v>45422</v>
      </c>
      <c r="C94" s="1" t="s">
        <v>2204</v>
      </c>
      <c r="D94">
        <v>10</v>
      </c>
    </row>
    <row r="95" spans="1:4" x14ac:dyDescent="0.25">
      <c r="A95">
        <f t="shared" si="1"/>
        <v>94</v>
      </c>
      <c r="B95" s="1">
        <v>45422</v>
      </c>
      <c r="C95" s="1" t="s">
        <v>2200</v>
      </c>
      <c r="D95">
        <v>10</v>
      </c>
    </row>
    <row r="96" spans="1:4" x14ac:dyDescent="0.25">
      <c r="A96">
        <f t="shared" si="1"/>
        <v>95</v>
      </c>
      <c r="B96" s="1">
        <v>45423</v>
      </c>
      <c r="C96" s="1" t="s">
        <v>2194</v>
      </c>
      <c r="D96">
        <v>15</v>
      </c>
    </row>
    <row r="97" spans="1:4" x14ac:dyDescent="0.25">
      <c r="A97">
        <f t="shared" si="1"/>
        <v>96</v>
      </c>
      <c r="B97" s="1">
        <v>45423</v>
      </c>
      <c r="C97" s="1" t="s">
        <v>2176</v>
      </c>
      <c r="D97">
        <v>15</v>
      </c>
    </row>
    <row r="98" spans="1:4" x14ac:dyDescent="0.25">
      <c r="A98">
        <f t="shared" si="1"/>
        <v>97</v>
      </c>
      <c r="B98" s="1">
        <v>45425</v>
      </c>
      <c r="C98" s="1" t="s">
        <v>2190</v>
      </c>
      <c r="D98">
        <v>15</v>
      </c>
    </row>
    <row r="99" spans="1:4" x14ac:dyDescent="0.25">
      <c r="A99">
        <f t="shared" si="1"/>
        <v>98</v>
      </c>
      <c r="B99" s="1">
        <v>45425</v>
      </c>
      <c r="C99" s="1" t="s">
        <v>2189</v>
      </c>
      <c r="D99">
        <v>15</v>
      </c>
    </row>
    <row r="100" spans="1:4" x14ac:dyDescent="0.25">
      <c r="A100">
        <f t="shared" si="1"/>
        <v>99</v>
      </c>
      <c r="B100" s="1">
        <v>45425</v>
      </c>
      <c r="C100" s="1" t="s">
        <v>2176</v>
      </c>
      <c r="D100">
        <v>15</v>
      </c>
    </row>
    <row r="101" spans="1:4" x14ac:dyDescent="0.25">
      <c r="A101">
        <f t="shared" si="1"/>
        <v>100</v>
      </c>
      <c r="B101" s="1">
        <v>45425</v>
      </c>
      <c r="C101" s="1" t="s">
        <v>2216</v>
      </c>
      <c r="D101">
        <v>15</v>
      </c>
    </row>
    <row r="102" spans="1:4" x14ac:dyDescent="0.25">
      <c r="A102">
        <f t="shared" si="1"/>
        <v>101</v>
      </c>
      <c r="B102" s="1">
        <v>45425</v>
      </c>
      <c r="C102" s="1" t="s">
        <v>2212</v>
      </c>
      <c r="D102">
        <v>15</v>
      </c>
    </row>
    <row r="103" spans="1:4" x14ac:dyDescent="0.25">
      <c r="A103">
        <f t="shared" si="1"/>
        <v>102</v>
      </c>
      <c r="B103" s="1">
        <v>45425</v>
      </c>
      <c r="C103" s="1" t="s">
        <v>2178</v>
      </c>
      <c r="D103">
        <v>15</v>
      </c>
    </row>
    <row r="104" spans="1:4" x14ac:dyDescent="0.25">
      <c r="A104">
        <f t="shared" si="1"/>
        <v>103</v>
      </c>
      <c r="B104" s="1">
        <v>45427</v>
      </c>
      <c r="C104" s="1" t="s">
        <v>2185</v>
      </c>
      <c r="D104">
        <v>15</v>
      </c>
    </row>
    <row r="105" spans="1:4" x14ac:dyDescent="0.25">
      <c r="A105">
        <f t="shared" si="1"/>
        <v>104</v>
      </c>
      <c r="B105" s="1">
        <v>45427</v>
      </c>
      <c r="C105" s="1" t="s">
        <v>2192</v>
      </c>
      <c r="D105">
        <v>10</v>
      </c>
    </row>
    <row r="106" spans="1:4" x14ac:dyDescent="0.25">
      <c r="A106">
        <f t="shared" si="1"/>
        <v>105</v>
      </c>
      <c r="B106" s="1">
        <v>45427</v>
      </c>
      <c r="C106" s="1" t="s">
        <v>2190</v>
      </c>
      <c r="D106">
        <v>15</v>
      </c>
    </row>
    <row r="107" spans="1:4" x14ac:dyDescent="0.25">
      <c r="A107">
        <f t="shared" si="1"/>
        <v>106</v>
      </c>
      <c r="B107" s="1">
        <v>45429</v>
      </c>
      <c r="C107" s="1" t="s">
        <v>2217</v>
      </c>
      <c r="D107">
        <v>15</v>
      </c>
    </row>
    <row r="108" spans="1:4" x14ac:dyDescent="0.25">
      <c r="A108">
        <f t="shared" si="1"/>
        <v>107</v>
      </c>
      <c r="B108" s="1">
        <v>45429</v>
      </c>
      <c r="C108" s="1" t="s">
        <v>2218</v>
      </c>
      <c r="D108">
        <v>15</v>
      </c>
    </row>
    <row r="109" spans="1:4" x14ac:dyDescent="0.25">
      <c r="A109">
        <f t="shared" si="1"/>
        <v>108</v>
      </c>
      <c r="B109" s="1">
        <v>45429</v>
      </c>
      <c r="C109" s="1" t="s">
        <v>2219</v>
      </c>
      <c r="D109">
        <v>15</v>
      </c>
    </row>
    <row r="110" spans="1:4" x14ac:dyDescent="0.25">
      <c r="A110">
        <f t="shared" si="1"/>
        <v>109</v>
      </c>
      <c r="B110" s="1">
        <v>45430</v>
      </c>
      <c r="C110" s="1" t="s">
        <v>2194</v>
      </c>
      <c r="D110">
        <v>15</v>
      </c>
    </row>
    <row r="111" spans="1:4" x14ac:dyDescent="0.25">
      <c r="A111">
        <f t="shared" si="1"/>
        <v>110</v>
      </c>
      <c r="B111" s="1">
        <v>45430</v>
      </c>
      <c r="C111" s="1" t="s">
        <v>2176</v>
      </c>
      <c r="D111">
        <v>15</v>
      </c>
    </row>
    <row r="112" spans="1:4" x14ac:dyDescent="0.25">
      <c r="A112">
        <f t="shared" si="1"/>
        <v>111</v>
      </c>
      <c r="B112" s="1">
        <v>45432</v>
      </c>
      <c r="C112" s="1" t="s">
        <v>2203</v>
      </c>
      <c r="D112">
        <v>10</v>
      </c>
    </row>
    <row r="113" spans="1:4" x14ac:dyDescent="0.25">
      <c r="A113">
        <f t="shared" si="1"/>
        <v>112</v>
      </c>
      <c r="B113" s="1">
        <v>45432</v>
      </c>
      <c r="C113" s="1" t="s">
        <v>2197</v>
      </c>
      <c r="D113">
        <v>15</v>
      </c>
    </row>
    <row r="114" spans="1:4" x14ac:dyDescent="0.25">
      <c r="A114">
        <f t="shared" si="1"/>
        <v>113</v>
      </c>
      <c r="B114" s="1">
        <v>45432</v>
      </c>
      <c r="C114" s="1" t="s">
        <v>2220</v>
      </c>
      <c r="D114">
        <v>15</v>
      </c>
    </row>
    <row r="115" spans="1:4" x14ac:dyDescent="0.25">
      <c r="A115">
        <f t="shared" si="1"/>
        <v>114</v>
      </c>
      <c r="B115" s="1">
        <v>45434</v>
      </c>
      <c r="C115" s="1" t="s">
        <v>2190</v>
      </c>
      <c r="D115">
        <v>15</v>
      </c>
    </row>
    <row r="116" spans="1:4" x14ac:dyDescent="0.25">
      <c r="A116">
        <f t="shared" ref="A116:A179" si="2">A115+1</f>
        <v>115</v>
      </c>
      <c r="B116" s="1">
        <v>45443</v>
      </c>
      <c r="C116" s="1" t="s">
        <v>2221</v>
      </c>
      <c r="D116">
        <v>10</v>
      </c>
    </row>
    <row r="117" spans="1:4" x14ac:dyDescent="0.25">
      <c r="A117">
        <f t="shared" si="2"/>
        <v>116</v>
      </c>
      <c r="B117" s="1">
        <v>45436</v>
      </c>
      <c r="C117" s="1" t="s">
        <v>2222</v>
      </c>
      <c r="D117">
        <v>15</v>
      </c>
    </row>
    <row r="118" spans="1:4" x14ac:dyDescent="0.25">
      <c r="A118">
        <f t="shared" si="2"/>
        <v>117</v>
      </c>
      <c r="B118" s="1">
        <v>45443</v>
      </c>
      <c r="C118" s="1" t="s">
        <v>2203</v>
      </c>
      <c r="D118">
        <v>10</v>
      </c>
    </row>
    <row r="119" spans="1:4" x14ac:dyDescent="0.25">
      <c r="A119">
        <f t="shared" si="2"/>
        <v>118</v>
      </c>
      <c r="B119" s="1">
        <v>45451</v>
      </c>
      <c r="C119" s="1" t="s">
        <v>2223</v>
      </c>
      <c r="D119">
        <v>15</v>
      </c>
    </row>
    <row r="120" spans="1:4" x14ac:dyDescent="0.25">
      <c r="A120">
        <f t="shared" si="2"/>
        <v>119</v>
      </c>
      <c r="B120" s="1">
        <v>45444</v>
      </c>
      <c r="C120" s="1" t="s">
        <v>2194</v>
      </c>
      <c r="D120">
        <v>15</v>
      </c>
    </row>
    <row r="121" spans="1:4" x14ac:dyDescent="0.25">
      <c r="A121">
        <f t="shared" si="2"/>
        <v>120</v>
      </c>
      <c r="B121" s="1">
        <v>45446</v>
      </c>
      <c r="C121" s="1" t="s">
        <v>2179</v>
      </c>
      <c r="D121">
        <v>15</v>
      </c>
    </row>
    <row r="122" spans="1:4" x14ac:dyDescent="0.25">
      <c r="A122">
        <f t="shared" si="2"/>
        <v>121</v>
      </c>
      <c r="B122" s="1">
        <v>45446</v>
      </c>
      <c r="C122" s="1" t="s">
        <v>2201</v>
      </c>
      <c r="D122">
        <v>15</v>
      </c>
    </row>
    <row r="123" spans="1:4" x14ac:dyDescent="0.25">
      <c r="A123">
        <f t="shared" si="2"/>
        <v>122</v>
      </c>
      <c r="B123" s="1">
        <v>45448</v>
      </c>
      <c r="C123" s="1" t="s">
        <v>2224</v>
      </c>
      <c r="D123">
        <v>15</v>
      </c>
    </row>
    <row r="124" spans="1:4" x14ac:dyDescent="0.25">
      <c r="A124">
        <f t="shared" si="2"/>
        <v>123</v>
      </c>
      <c r="B124" s="1">
        <v>45450</v>
      </c>
      <c r="C124" s="1" t="s">
        <v>2194</v>
      </c>
      <c r="D124">
        <v>15</v>
      </c>
    </row>
    <row r="125" spans="1:4" x14ac:dyDescent="0.25">
      <c r="A125">
        <f t="shared" si="2"/>
        <v>124</v>
      </c>
      <c r="B125" s="1">
        <v>45450</v>
      </c>
      <c r="C125" s="1" t="s">
        <v>2224</v>
      </c>
      <c r="D125">
        <v>15</v>
      </c>
    </row>
    <row r="126" spans="1:4" x14ac:dyDescent="0.25">
      <c r="A126">
        <f t="shared" si="2"/>
        <v>125</v>
      </c>
      <c r="B126" s="1">
        <v>45452</v>
      </c>
      <c r="C126" s="1" t="s">
        <v>2212</v>
      </c>
      <c r="D126">
        <v>15</v>
      </c>
    </row>
    <row r="127" spans="1:4" x14ac:dyDescent="0.25">
      <c r="A127">
        <f t="shared" si="2"/>
        <v>126</v>
      </c>
      <c r="B127" s="1">
        <v>45453</v>
      </c>
      <c r="C127" s="1" t="s">
        <v>2225</v>
      </c>
      <c r="D127">
        <v>15</v>
      </c>
    </row>
    <row r="128" spans="1:4" x14ac:dyDescent="0.25">
      <c r="A128">
        <f t="shared" si="2"/>
        <v>127</v>
      </c>
      <c r="B128" s="1">
        <v>45454</v>
      </c>
      <c r="C128" s="1" t="s">
        <v>2214</v>
      </c>
      <c r="D128">
        <v>15</v>
      </c>
    </row>
    <row r="129" spans="1:4" x14ac:dyDescent="0.25">
      <c r="A129">
        <f t="shared" si="2"/>
        <v>128</v>
      </c>
      <c r="B129" s="1">
        <v>45454</v>
      </c>
      <c r="C129" s="1" t="s">
        <v>2201</v>
      </c>
      <c r="D129">
        <v>10</v>
      </c>
    </row>
    <row r="130" spans="1:4" x14ac:dyDescent="0.25">
      <c r="A130">
        <f t="shared" si="2"/>
        <v>129</v>
      </c>
      <c r="B130" s="1">
        <v>45456</v>
      </c>
      <c r="C130" s="1" t="s">
        <v>2203</v>
      </c>
      <c r="D130">
        <v>10</v>
      </c>
    </row>
    <row r="131" spans="1:4" x14ac:dyDescent="0.25">
      <c r="A131">
        <f t="shared" si="2"/>
        <v>130</v>
      </c>
      <c r="B131" s="1">
        <v>45456</v>
      </c>
      <c r="C131" s="1" t="s">
        <v>2192</v>
      </c>
      <c r="D131">
        <v>15</v>
      </c>
    </row>
    <row r="132" spans="1:4" x14ac:dyDescent="0.25">
      <c r="A132">
        <f t="shared" si="2"/>
        <v>131</v>
      </c>
      <c r="B132" s="1">
        <v>45456</v>
      </c>
      <c r="C132" s="1" t="s">
        <v>2184</v>
      </c>
      <c r="D132">
        <v>15</v>
      </c>
    </row>
    <row r="133" spans="1:4" x14ac:dyDescent="0.25">
      <c r="A133">
        <f t="shared" si="2"/>
        <v>132</v>
      </c>
      <c r="B133" s="1">
        <v>45456</v>
      </c>
      <c r="C133" s="1" t="s">
        <v>2200</v>
      </c>
      <c r="D133">
        <v>10</v>
      </c>
    </row>
    <row r="134" spans="1:4" x14ac:dyDescent="0.25">
      <c r="A134">
        <f t="shared" si="2"/>
        <v>133</v>
      </c>
      <c r="B134" s="1">
        <v>45457</v>
      </c>
      <c r="C134" s="1" t="s">
        <v>2204</v>
      </c>
      <c r="D134">
        <v>10</v>
      </c>
    </row>
    <row r="135" spans="1:4" x14ac:dyDescent="0.25">
      <c r="A135">
        <f t="shared" si="2"/>
        <v>134</v>
      </c>
      <c r="B135" s="1">
        <v>45455</v>
      </c>
      <c r="C135" s="1" t="s">
        <v>2177</v>
      </c>
      <c r="D135">
        <v>10</v>
      </c>
    </row>
    <row r="136" spans="1:4" x14ac:dyDescent="0.25">
      <c r="A136">
        <f t="shared" si="2"/>
        <v>135</v>
      </c>
      <c r="B136" s="1">
        <v>45457</v>
      </c>
      <c r="C136" s="1" t="s">
        <v>2177</v>
      </c>
      <c r="D136">
        <v>10</v>
      </c>
    </row>
    <row r="137" spans="1:4" x14ac:dyDescent="0.25">
      <c r="A137">
        <f t="shared" si="2"/>
        <v>136</v>
      </c>
      <c r="B137" s="1">
        <v>45458</v>
      </c>
      <c r="C137" s="1" t="s">
        <v>2221</v>
      </c>
      <c r="D137">
        <v>15</v>
      </c>
    </row>
    <row r="138" spans="1:4" x14ac:dyDescent="0.25">
      <c r="A138">
        <f t="shared" si="2"/>
        <v>137</v>
      </c>
      <c r="B138" s="1">
        <v>45461</v>
      </c>
      <c r="C138" s="1" t="s">
        <v>2224</v>
      </c>
      <c r="D138">
        <v>15</v>
      </c>
    </row>
    <row r="139" spans="1:4" x14ac:dyDescent="0.25">
      <c r="A139">
        <f t="shared" si="2"/>
        <v>138</v>
      </c>
      <c r="B139" s="1">
        <v>45461</v>
      </c>
      <c r="C139" s="1" t="s">
        <v>2184</v>
      </c>
      <c r="D139">
        <v>15</v>
      </c>
    </row>
    <row r="140" spans="1:4" x14ac:dyDescent="0.25">
      <c r="A140">
        <f t="shared" si="2"/>
        <v>139</v>
      </c>
      <c r="B140" s="1">
        <v>45460</v>
      </c>
      <c r="C140" s="1" t="s">
        <v>2203</v>
      </c>
      <c r="D140">
        <v>10</v>
      </c>
    </row>
    <row r="141" spans="1:4" x14ac:dyDescent="0.25">
      <c r="A141">
        <f t="shared" si="2"/>
        <v>140</v>
      </c>
      <c r="B141" s="1">
        <v>45464</v>
      </c>
      <c r="C141" s="1" t="s">
        <v>2186</v>
      </c>
      <c r="D141">
        <v>15</v>
      </c>
    </row>
    <row r="142" spans="1:4" x14ac:dyDescent="0.25">
      <c r="A142">
        <f t="shared" si="2"/>
        <v>141</v>
      </c>
      <c r="B142" s="1">
        <v>45464</v>
      </c>
      <c r="C142" s="1" t="s">
        <v>2200</v>
      </c>
      <c r="D142">
        <v>10</v>
      </c>
    </row>
    <row r="143" spans="1:4" x14ac:dyDescent="0.25">
      <c r="A143">
        <f t="shared" si="2"/>
        <v>142</v>
      </c>
      <c r="B143" s="1">
        <v>45465</v>
      </c>
      <c r="C143" s="1" t="s">
        <v>2201</v>
      </c>
      <c r="D143">
        <v>15</v>
      </c>
    </row>
    <row r="144" spans="1:4" x14ac:dyDescent="0.25">
      <c r="A144">
        <f t="shared" si="2"/>
        <v>143</v>
      </c>
      <c r="B144" s="1">
        <v>45465</v>
      </c>
      <c r="C144" s="1" t="s">
        <v>2225</v>
      </c>
      <c r="D144">
        <v>15</v>
      </c>
    </row>
    <row r="145" spans="1:4" x14ac:dyDescent="0.25">
      <c r="A145">
        <f t="shared" si="2"/>
        <v>144</v>
      </c>
      <c r="B145" s="1">
        <v>45465</v>
      </c>
      <c r="C145" s="1" t="s">
        <v>2225</v>
      </c>
      <c r="D145">
        <v>15</v>
      </c>
    </row>
    <row r="146" spans="1:4" x14ac:dyDescent="0.25">
      <c r="A146">
        <f t="shared" si="2"/>
        <v>145</v>
      </c>
      <c r="B146" s="1">
        <v>45466</v>
      </c>
      <c r="C146" s="1" t="s">
        <v>2224</v>
      </c>
      <c r="D146">
        <v>15</v>
      </c>
    </row>
    <row r="147" spans="1:4" x14ac:dyDescent="0.25">
      <c r="A147">
        <f t="shared" si="2"/>
        <v>146</v>
      </c>
      <c r="B147" s="1">
        <v>45467</v>
      </c>
      <c r="C147" s="1" t="s">
        <v>2226</v>
      </c>
      <c r="D147">
        <v>15</v>
      </c>
    </row>
    <row r="148" spans="1:4" x14ac:dyDescent="0.25">
      <c r="A148">
        <f t="shared" si="2"/>
        <v>147</v>
      </c>
      <c r="B148" s="1">
        <v>45469</v>
      </c>
      <c r="C148" s="1" t="s">
        <v>2194</v>
      </c>
      <c r="D148">
        <v>15</v>
      </c>
    </row>
    <row r="149" spans="1:4" x14ac:dyDescent="0.25">
      <c r="A149">
        <f t="shared" si="2"/>
        <v>148</v>
      </c>
      <c r="B149" s="1">
        <v>45470</v>
      </c>
      <c r="C149" s="1" t="s">
        <v>2227</v>
      </c>
      <c r="D149">
        <v>15</v>
      </c>
    </row>
    <row r="150" spans="1:4" x14ac:dyDescent="0.25">
      <c r="A150">
        <f t="shared" si="2"/>
        <v>149</v>
      </c>
      <c r="B150" s="1">
        <v>45469</v>
      </c>
      <c r="C150" s="1" t="s">
        <v>2179</v>
      </c>
      <c r="D150">
        <v>15</v>
      </c>
    </row>
    <row r="151" spans="1:4" x14ac:dyDescent="0.25">
      <c r="A151">
        <f t="shared" si="2"/>
        <v>150</v>
      </c>
      <c r="B151" s="1">
        <v>45471</v>
      </c>
      <c r="C151" s="1" t="s">
        <v>2228</v>
      </c>
      <c r="D151">
        <v>15</v>
      </c>
    </row>
    <row r="152" spans="1:4" x14ac:dyDescent="0.25">
      <c r="A152">
        <f t="shared" si="2"/>
        <v>151</v>
      </c>
      <c r="B152" s="1">
        <v>45471</v>
      </c>
      <c r="C152" s="1" t="s">
        <v>2204</v>
      </c>
      <c r="D152">
        <v>10</v>
      </c>
    </row>
    <row r="153" spans="1:4" x14ac:dyDescent="0.25">
      <c r="A153">
        <f t="shared" si="2"/>
        <v>152</v>
      </c>
      <c r="B153" s="1">
        <v>45472</v>
      </c>
      <c r="C153" s="1" t="s">
        <v>2224</v>
      </c>
      <c r="D153">
        <v>15</v>
      </c>
    </row>
    <row r="154" spans="1:4" x14ac:dyDescent="0.25">
      <c r="A154">
        <f t="shared" si="2"/>
        <v>153</v>
      </c>
      <c r="B154" s="1">
        <v>45473</v>
      </c>
      <c r="C154" s="1" t="s">
        <v>2191</v>
      </c>
      <c r="D154">
        <v>15</v>
      </c>
    </row>
    <row r="155" spans="1:4" x14ac:dyDescent="0.25">
      <c r="A155">
        <f t="shared" si="2"/>
        <v>154</v>
      </c>
      <c r="B155" s="1">
        <v>45473</v>
      </c>
      <c r="C155" s="1" t="s">
        <v>2179</v>
      </c>
      <c r="D155">
        <v>15</v>
      </c>
    </row>
    <row r="156" spans="1:4" x14ac:dyDescent="0.25">
      <c r="A156">
        <f t="shared" si="2"/>
        <v>155</v>
      </c>
      <c r="B156" s="1">
        <v>45471</v>
      </c>
      <c r="C156" s="1" t="s">
        <v>2201</v>
      </c>
      <c r="D156">
        <v>15</v>
      </c>
    </row>
    <row r="157" spans="1:4" x14ac:dyDescent="0.25">
      <c r="A157">
        <f t="shared" si="2"/>
        <v>156</v>
      </c>
      <c r="B157" s="1">
        <v>45473</v>
      </c>
      <c r="C157" s="1" t="s">
        <v>2192</v>
      </c>
      <c r="D157">
        <v>15</v>
      </c>
    </row>
    <row r="158" spans="1:4" x14ac:dyDescent="0.25">
      <c r="A158">
        <f t="shared" si="2"/>
        <v>157</v>
      </c>
      <c r="B158" s="1">
        <v>45473</v>
      </c>
      <c r="C158" s="1" t="s">
        <v>2177</v>
      </c>
      <c r="D158">
        <v>10</v>
      </c>
    </row>
    <row r="159" spans="1:4" x14ac:dyDescent="0.25">
      <c r="A159">
        <f t="shared" si="2"/>
        <v>158</v>
      </c>
      <c r="B159" s="1">
        <v>45473</v>
      </c>
      <c r="C159" s="1" t="s">
        <v>2211</v>
      </c>
      <c r="D159">
        <v>15</v>
      </c>
    </row>
    <row r="160" spans="1:4" x14ac:dyDescent="0.25">
      <c r="A160">
        <f t="shared" si="2"/>
        <v>159</v>
      </c>
      <c r="B160" s="1">
        <v>45474</v>
      </c>
      <c r="C160" s="1" t="s">
        <v>2229</v>
      </c>
      <c r="D160">
        <v>10</v>
      </c>
    </row>
    <row r="161" spans="1:4" x14ac:dyDescent="0.25">
      <c r="A161">
        <f t="shared" si="2"/>
        <v>160</v>
      </c>
      <c r="B161" s="1">
        <v>45474</v>
      </c>
      <c r="C161" s="1" t="s">
        <v>2194</v>
      </c>
      <c r="D161">
        <v>15</v>
      </c>
    </row>
    <row r="162" spans="1:4" x14ac:dyDescent="0.25">
      <c r="A162">
        <f t="shared" si="2"/>
        <v>161</v>
      </c>
      <c r="B162" s="1">
        <v>45475</v>
      </c>
      <c r="C162" s="1" t="s">
        <v>2212</v>
      </c>
      <c r="D162">
        <v>10</v>
      </c>
    </row>
    <row r="163" spans="1:4" x14ac:dyDescent="0.25">
      <c r="A163">
        <f t="shared" si="2"/>
        <v>162</v>
      </c>
      <c r="B163" s="1">
        <v>45476</v>
      </c>
      <c r="C163" s="1" t="s">
        <v>2224</v>
      </c>
      <c r="D163">
        <v>15</v>
      </c>
    </row>
    <row r="164" spans="1:4" x14ac:dyDescent="0.25">
      <c r="A164">
        <f t="shared" si="2"/>
        <v>163</v>
      </c>
      <c r="B164" s="1">
        <v>45476</v>
      </c>
      <c r="C164" s="1" t="s">
        <v>2190</v>
      </c>
      <c r="D164">
        <v>15</v>
      </c>
    </row>
    <row r="165" spans="1:4" x14ac:dyDescent="0.25">
      <c r="A165">
        <f t="shared" si="2"/>
        <v>164</v>
      </c>
      <c r="B165" s="1">
        <v>45478</v>
      </c>
      <c r="C165" s="1" t="s">
        <v>2194</v>
      </c>
      <c r="D165">
        <v>15</v>
      </c>
    </row>
    <row r="166" spans="1:4" x14ac:dyDescent="0.25">
      <c r="A166">
        <f t="shared" si="2"/>
        <v>165</v>
      </c>
      <c r="B166" s="1">
        <v>45478</v>
      </c>
      <c r="C166" s="1" t="s">
        <v>2211</v>
      </c>
      <c r="D166">
        <v>15</v>
      </c>
    </row>
    <row r="167" spans="1:4" x14ac:dyDescent="0.25">
      <c r="A167">
        <f t="shared" si="2"/>
        <v>166</v>
      </c>
      <c r="B167" s="1">
        <v>45480</v>
      </c>
      <c r="C167" s="1" t="s">
        <v>2214</v>
      </c>
      <c r="D167">
        <v>10</v>
      </c>
    </row>
    <row r="168" spans="1:4" x14ac:dyDescent="0.25">
      <c r="A168">
        <f t="shared" si="2"/>
        <v>167</v>
      </c>
      <c r="B168" s="1">
        <v>45479</v>
      </c>
      <c r="C168" s="1" t="s">
        <v>2191</v>
      </c>
      <c r="D168">
        <v>15</v>
      </c>
    </row>
    <row r="169" spans="1:4" x14ac:dyDescent="0.25">
      <c r="A169">
        <f t="shared" si="2"/>
        <v>168</v>
      </c>
      <c r="B169" s="1">
        <v>45473</v>
      </c>
      <c r="C169" s="1" t="s">
        <v>2230</v>
      </c>
      <c r="D169">
        <v>15</v>
      </c>
    </row>
    <row r="170" spans="1:4" x14ac:dyDescent="0.25">
      <c r="A170">
        <f t="shared" si="2"/>
        <v>169</v>
      </c>
      <c r="B170" s="1">
        <v>45480</v>
      </c>
      <c r="C170" s="1" t="s">
        <v>2201</v>
      </c>
      <c r="D170">
        <v>15</v>
      </c>
    </row>
    <row r="171" spans="1:4" x14ac:dyDescent="0.25">
      <c r="A171">
        <f t="shared" si="2"/>
        <v>170</v>
      </c>
      <c r="B171" s="1">
        <v>45480</v>
      </c>
      <c r="C171" s="1" t="s">
        <v>2212</v>
      </c>
      <c r="D171">
        <v>15</v>
      </c>
    </row>
    <row r="172" spans="1:4" x14ac:dyDescent="0.25">
      <c r="A172">
        <f t="shared" si="2"/>
        <v>171</v>
      </c>
      <c r="B172" s="1">
        <v>45480</v>
      </c>
      <c r="C172" s="1" t="s">
        <v>2179</v>
      </c>
      <c r="D172">
        <v>15</v>
      </c>
    </row>
    <row r="173" spans="1:4" x14ac:dyDescent="0.25">
      <c r="A173">
        <f t="shared" si="2"/>
        <v>172</v>
      </c>
      <c r="B173" s="1">
        <v>45481</v>
      </c>
      <c r="C173" s="1" t="s">
        <v>2194</v>
      </c>
      <c r="D173">
        <v>15</v>
      </c>
    </row>
    <row r="174" spans="1:4" x14ac:dyDescent="0.25">
      <c r="A174">
        <f t="shared" si="2"/>
        <v>173</v>
      </c>
      <c r="B174" s="1">
        <v>45485</v>
      </c>
      <c r="C174" s="1" t="s">
        <v>2231</v>
      </c>
      <c r="D174">
        <v>15</v>
      </c>
    </row>
    <row r="175" spans="1:4" x14ac:dyDescent="0.25">
      <c r="A175">
        <f t="shared" si="2"/>
        <v>174</v>
      </c>
      <c r="B175" s="1">
        <v>45485</v>
      </c>
      <c r="C175" s="1" t="s">
        <v>2232</v>
      </c>
      <c r="D175">
        <v>10</v>
      </c>
    </row>
    <row r="176" spans="1:4" x14ac:dyDescent="0.25">
      <c r="A176">
        <f t="shared" si="2"/>
        <v>175</v>
      </c>
      <c r="B176" s="1">
        <v>45485</v>
      </c>
      <c r="C176" s="1" t="s">
        <v>2211</v>
      </c>
      <c r="D176">
        <v>15</v>
      </c>
    </row>
    <row r="177" spans="1:4" x14ac:dyDescent="0.25">
      <c r="A177">
        <f t="shared" si="2"/>
        <v>176</v>
      </c>
      <c r="B177" s="1">
        <v>45487</v>
      </c>
      <c r="C177" s="1" t="s">
        <v>2233</v>
      </c>
      <c r="D177">
        <v>15</v>
      </c>
    </row>
    <row r="178" spans="1:4" x14ac:dyDescent="0.25">
      <c r="A178">
        <f t="shared" si="2"/>
        <v>177</v>
      </c>
      <c r="B178" s="1">
        <v>45490</v>
      </c>
      <c r="C178" s="1" t="s">
        <v>2224</v>
      </c>
      <c r="D178">
        <v>15</v>
      </c>
    </row>
    <row r="179" spans="1:4" x14ac:dyDescent="0.25">
      <c r="A179">
        <f t="shared" si="2"/>
        <v>178</v>
      </c>
      <c r="B179" s="1">
        <v>45490</v>
      </c>
      <c r="C179" s="1" t="s">
        <v>2224</v>
      </c>
      <c r="D179">
        <v>10</v>
      </c>
    </row>
    <row r="180" spans="1:4" x14ac:dyDescent="0.25">
      <c r="A180">
        <f t="shared" ref="A180:A243" si="3">A179+1</f>
        <v>179</v>
      </c>
      <c r="B180" s="1">
        <v>45490</v>
      </c>
      <c r="C180" s="1" t="s">
        <v>2201</v>
      </c>
      <c r="D180">
        <v>10</v>
      </c>
    </row>
    <row r="181" spans="1:4" x14ac:dyDescent="0.25">
      <c r="A181">
        <f t="shared" si="3"/>
        <v>180</v>
      </c>
      <c r="B181" s="1">
        <v>45491</v>
      </c>
      <c r="C181" s="1" t="s">
        <v>2234</v>
      </c>
      <c r="D181">
        <v>15</v>
      </c>
    </row>
    <row r="182" spans="1:4" x14ac:dyDescent="0.25">
      <c r="A182">
        <f t="shared" si="3"/>
        <v>181</v>
      </c>
      <c r="B182" s="1">
        <v>45491</v>
      </c>
      <c r="C182" s="1" t="s">
        <v>2224</v>
      </c>
      <c r="D182">
        <v>15</v>
      </c>
    </row>
    <row r="183" spans="1:4" x14ac:dyDescent="0.25">
      <c r="A183">
        <f t="shared" si="3"/>
        <v>182</v>
      </c>
      <c r="B183" s="1">
        <v>45491</v>
      </c>
      <c r="C183" s="1" t="s">
        <v>2214</v>
      </c>
      <c r="D183">
        <v>15</v>
      </c>
    </row>
    <row r="184" spans="1:4" x14ac:dyDescent="0.25">
      <c r="A184">
        <f t="shared" si="3"/>
        <v>183</v>
      </c>
      <c r="B184" s="1">
        <v>45492</v>
      </c>
      <c r="C184" s="1" t="s">
        <v>2228</v>
      </c>
      <c r="D184">
        <v>10</v>
      </c>
    </row>
    <row r="185" spans="1:4" x14ac:dyDescent="0.25">
      <c r="A185">
        <f t="shared" si="3"/>
        <v>184</v>
      </c>
      <c r="B185" s="1">
        <v>45492</v>
      </c>
      <c r="C185" s="1" t="s">
        <v>2194</v>
      </c>
      <c r="D185">
        <v>15</v>
      </c>
    </row>
    <row r="186" spans="1:4" x14ac:dyDescent="0.25">
      <c r="A186">
        <f t="shared" si="3"/>
        <v>185</v>
      </c>
      <c r="B186" s="1">
        <v>45494</v>
      </c>
      <c r="C186" s="1" t="s">
        <v>2176</v>
      </c>
      <c r="D186">
        <v>10</v>
      </c>
    </row>
    <row r="187" spans="1:4" x14ac:dyDescent="0.25">
      <c r="A187">
        <f t="shared" si="3"/>
        <v>186</v>
      </c>
      <c r="B187" s="1">
        <v>45497</v>
      </c>
      <c r="C187" s="1" t="s">
        <v>2223</v>
      </c>
      <c r="D187">
        <v>15</v>
      </c>
    </row>
    <row r="188" spans="1:4" x14ac:dyDescent="0.25">
      <c r="A188">
        <f t="shared" si="3"/>
        <v>187</v>
      </c>
      <c r="B188" s="1">
        <v>45497</v>
      </c>
      <c r="C188" s="1" t="s">
        <v>2235</v>
      </c>
      <c r="D188">
        <v>15</v>
      </c>
    </row>
    <row r="189" spans="1:4" x14ac:dyDescent="0.25">
      <c r="A189">
        <f t="shared" si="3"/>
        <v>188</v>
      </c>
      <c r="B189" s="1">
        <v>45497</v>
      </c>
      <c r="C189" s="1" t="s">
        <v>2236</v>
      </c>
      <c r="D189">
        <v>10</v>
      </c>
    </row>
    <row r="190" spans="1:4" x14ac:dyDescent="0.25">
      <c r="A190">
        <f t="shared" si="3"/>
        <v>189</v>
      </c>
      <c r="B190" s="1">
        <v>45498</v>
      </c>
      <c r="C190" s="1" t="s">
        <v>2194</v>
      </c>
      <c r="D190">
        <v>10</v>
      </c>
    </row>
    <row r="191" spans="1:4" x14ac:dyDescent="0.25">
      <c r="A191">
        <f t="shared" si="3"/>
        <v>190</v>
      </c>
      <c r="B191" s="1">
        <v>45500</v>
      </c>
      <c r="C191" s="1" t="s">
        <v>2179</v>
      </c>
      <c r="D191">
        <v>15</v>
      </c>
    </row>
    <row r="192" spans="1:4" x14ac:dyDescent="0.25">
      <c r="A192">
        <f t="shared" si="3"/>
        <v>191</v>
      </c>
      <c r="B192" s="1">
        <v>45523</v>
      </c>
      <c r="C192" s="1" t="s">
        <v>2203</v>
      </c>
      <c r="D192">
        <v>10</v>
      </c>
    </row>
    <row r="193" spans="1:4" x14ac:dyDescent="0.25">
      <c r="A193">
        <f t="shared" si="3"/>
        <v>192</v>
      </c>
      <c r="B193" s="1">
        <v>45502</v>
      </c>
      <c r="C193" s="1" t="s">
        <v>2211</v>
      </c>
      <c r="D193">
        <v>15</v>
      </c>
    </row>
    <row r="194" spans="1:4" x14ac:dyDescent="0.25">
      <c r="A194">
        <f t="shared" si="3"/>
        <v>193</v>
      </c>
      <c r="B194" s="1">
        <v>45502</v>
      </c>
      <c r="C194" s="1" t="s">
        <v>2226</v>
      </c>
      <c r="D194">
        <v>15</v>
      </c>
    </row>
    <row r="195" spans="1:4" x14ac:dyDescent="0.25">
      <c r="A195">
        <f t="shared" si="3"/>
        <v>194</v>
      </c>
      <c r="B195" s="1">
        <v>45506</v>
      </c>
      <c r="C195" s="1" t="s">
        <v>2228</v>
      </c>
      <c r="D195">
        <v>15</v>
      </c>
    </row>
    <row r="196" spans="1:4" x14ac:dyDescent="0.25">
      <c r="A196">
        <f t="shared" si="3"/>
        <v>195</v>
      </c>
      <c r="B196" s="1">
        <v>45506</v>
      </c>
      <c r="C196" s="1" t="s">
        <v>2204</v>
      </c>
      <c r="D196">
        <v>10</v>
      </c>
    </row>
    <row r="197" spans="1:4" x14ac:dyDescent="0.25">
      <c r="A197">
        <f t="shared" si="3"/>
        <v>196</v>
      </c>
      <c r="B197" s="1">
        <v>45508</v>
      </c>
      <c r="C197" s="1" t="s">
        <v>2237</v>
      </c>
      <c r="D197">
        <v>15</v>
      </c>
    </row>
    <row r="198" spans="1:4" x14ac:dyDescent="0.25">
      <c r="A198">
        <f t="shared" si="3"/>
        <v>197</v>
      </c>
      <c r="B198" s="1">
        <v>45532</v>
      </c>
      <c r="C198" s="1" t="s">
        <v>2177</v>
      </c>
      <c r="D198">
        <v>10</v>
      </c>
    </row>
    <row r="199" spans="1:4" x14ac:dyDescent="0.25">
      <c r="A199">
        <f t="shared" si="3"/>
        <v>198</v>
      </c>
      <c r="B199" s="1">
        <v>45510</v>
      </c>
      <c r="C199" s="1" t="s">
        <v>2238</v>
      </c>
      <c r="D199">
        <v>15</v>
      </c>
    </row>
    <row r="200" spans="1:4" x14ac:dyDescent="0.25">
      <c r="A200">
        <f t="shared" si="3"/>
        <v>199</v>
      </c>
      <c r="B200" s="1">
        <v>45511</v>
      </c>
      <c r="C200" s="1" t="s">
        <v>2190</v>
      </c>
      <c r="D200">
        <v>15</v>
      </c>
    </row>
    <row r="201" spans="1:4" x14ac:dyDescent="0.25">
      <c r="A201">
        <f t="shared" si="3"/>
        <v>200</v>
      </c>
      <c r="B201" s="1">
        <v>45511</v>
      </c>
      <c r="C201" s="1" t="s">
        <v>2179</v>
      </c>
      <c r="D201">
        <v>15</v>
      </c>
    </row>
    <row r="202" spans="1:4" x14ac:dyDescent="0.25">
      <c r="A202">
        <f t="shared" si="3"/>
        <v>201</v>
      </c>
      <c r="B202" s="1">
        <v>45512</v>
      </c>
      <c r="C202" s="1" t="s">
        <v>2236</v>
      </c>
      <c r="D202">
        <v>10</v>
      </c>
    </row>
    <row r="203" spans="1:4" x14ac:dyDescent="0.25">
      <c r="A203">
        <f t="shared" si="3"/>
        <v>202</v>
      </c>
      <c r="B203" s="1">
        <v>45512</v>
      </c>
      <c r="C203" s="1" t="s">
        <v>2239</v>
      </c>
      <c r="D203">
        <v>15</v>
      </c>
    </row>
    <row r="204" spans="1:4" x14ac:dyDescent="0.25">
      <c r="A204">
        <f t="shared" si="3"/>
        <v>203</v>
      </c>
      <c r="B204" s="1">
        <v>45513</v>
      </c>
      <c r="C204" s="1" t="s">
        <v>2240</v>
      </c>
      <c r="D204">
        <v>15</v>
      </c>
    </row>
    <row r="205" spans="1:4" x14ac:dyDescent="0.25">
      <c r="A205">
        <f t="shared" si="3"/>
        <v>204</v>
      </c>
      <c r="B205" s="1">
        <v>45514</v>
      </c>
      <c r="C205" s="1" t="s">
        <v>2203</v>
      </c>
      <c r="D205">
        <v>10</v>
      </c>
    </row>
    <row r="206" spans="1:4" x14ac:dyDescent="0.25">
      <c r="A206">
        <f t="shared" si="3"/>
        <v>205</v>
      </c>
      <c r="B206" s="1">
        <v>45514</v>
      </c>
      <c r="C206" s="1" t="s">
        <v>2211</v>
      </c>
      <c r="D206">
        <v>15</v>
      </c>
    </row>
    <row r="207" spans="1:4" x14ac:dyDescent="0.25">
      <c r="A207">
        <f t="shared" si="3"/>
        <v>206</v>
      </c>
      <c r="B207" s="1">
        <v>45514</v>
      </c>
      <c r="C207" s="1" t="s">
        <v>2192</v>
      </c>
      <c r="D207">
        <v>10</v>
      </c>
    </row>
    <row r="208" spans="1:4" x14ac:dyDescent="0.25">
      <c r="A208">
        <f t="shared" si="3"/>
        <v>207</v>
      </c>
      <c r="B208" s="1">
        <v>45516</v>
      </c>
      <c r="C208" s="1" t="s">
        <v>2177</v>
      </c>
      <c r="D208">
        <v>10</v>
      </c>
    </row>
    <row r="209" spans="1:4" x14ac:dyDescent="0.25">
      <c r="A209">
        <f t="shared" si="3"/>
        <v>208</v>
      </c>
      <c r="B209" s="1">
        <v>45517</v>
      </c>
      <c r="C209" s="1" t="s">
        <v>2240</v>
      </c>
      <c r="D209">
        <v>15</v>
      </c>
    </row>
    <row r="210" spans="1:4" x14ac:dyDescent="0.25">
      <c r="A210">
        <f t="shared" si="3"/>
        <v>209</v>
      </c>
      <c r="B210" s="1">
        <v>45517</v>
      </c>
      <c r="C210" s="1" t="s">
        <v>2228</v>
      </c>
      <c r="D210">
        <v>10</v>
      </c>
    </row>
    <row r="211" spans="1:4" x14ac:dyDescent="0.25">
      <c r="A211">
        <f t="shared" si="3"/>
        <v>210</v>
      </c>
      <c r="B211" s="1">
        <v>45520</v>
      </c>
      <c r="C211" s="1" t="s">
        <v>2225</v>
      </c>
      <c r="D211">
        <v>10</v>
      </c>
    </row>
    <row r="212" spans="1:4" x14ac:dyDescent="0.25">
      <c r="A212">
        <f t="shared" si="3"/>
        <v>211</v>
      </c>
      <c r="B212" s="1">
        <v>45520</v>
      </c>
      <c r="C212" s="1" t="s">
        <v>2211</v>
      </c>
      <c r="D212">
        <v>15</v>
      </c>
    </row>
    <row r="213" spans="1:4" x14ac:dyDescent="0.25">
      <c r="A213">
        <f t="shared" si="3"/>
        <v>212</v>
      </c>
      <c r="B213" s="1">
        <v>45520</v>
      </c>
      <c r="C213" s="1" t="s">
        <v>2186</v>
      </c>
      <c r="D213">
        <v>15</v>
      </c>
    </row>
    <row r="214" spans="1:4" x14ac:dyDescent="0.25">
      <c r="A214">
        <f t="shared" si="3"/>
        <v>213</v>
      </c>
      <c r="B214" s="1">
        <v>45520</v>
      </c>
      <c r="C214" s="1" t="s">
        <v>2241</v>
      </c>
      <c r="D214">
        <v>10</v>
      </c>
    </row>
    <row r="215" spans="1:4" x14ac:dyDescent="0.25">
      <c r="A215">
        <f t="shared" si="3"/>
        <v>214</v>
      </c>
      <c r="B215" s="1">
        <v>45520</v>
      </c>
      <c r="C215" s="1" t="s">
        <v>2239</v>
      </c>
      <c r="D215">
        <v>15</v>
      </c>
    </row>
    <row r="216" spans="1:4" x14ac:dyDescent="0.25">
      <c r="A216">
        <f t="shared" si="3"/>
        <v>215</v>
      </c>
      <c r="B216" s="1">
        <v>45520</v>
      </c>
      <c r="C216" s="1" t="s">
        <v>2194</v>
      </c>
      <c r="D216">
        <v>15</v>
      </c>
    </row>
    <row r="217" spans="1:4" x14ac:dyDescent="0.25">
      <c r="A217">
        <f t="shared" si="3"/>
        <v>216</v>
      </c>
      <c r="B217" s="1">
        <v>45521</v>
      </c>
      <c r="C217" s="1" t="s">
        <v>2201</v>
      </c>
      <c r="D217">
        <v>15</v>
      </c>
    </row>
    <row r="218" spans="1:4" x14ac:dyDescent="0.25">
      <c r="A218">
        <f t="shared" si="3"/>
        <v>217</v>
      </c>
      <c r="B218" s="1">
        <v>45523</v>
      </c>
      <c r="C218" s="1" t="s">
        <v>2224</v>
      </c>
      <c r="D218">
        <v>15</v>
      </c>
    </row>
    <row r="219" spans="1:4" x14ac:dyDescent="0.25">
      <c r="A219">
        <f t="shared" si="3"/>
        <v>218</v>
      </c>
      <c r="B219" s="1">
        <v>45559</v>
      </c>
      <c r="C219" s="1" t="s">
        <v>2226</v>
      </c>
      <c r="D219">
        <v>15</v>
      </c>
    </row>
    <row r="220" spans="1:4" x14ac:dyDescent="0.25">
      <c r="A220">
        <f t="shared" si="3"/>
        <v>219</v>
      </c>
      <c r="B220" s="1">
        <v>45524</v>
      </c>
      <c r="C220" s="1" t="s">
        <v>2223</v>
      </c>
      <c r="D220">
        <v>15</v>
      </c>
    </row>
    <row r="221" spans="1:4" x14ac:dyDescent="0.25">
      <c r="A221">
        <f t="shared" si="3"/>
        <v>220</v>
      </c>
      <c r="B221" s="1">
        <v>45527</v>
      </c>
      <c r="C221" s="1" t="s">
        <v>2242</v>
      </c>
      <c r="D221">
        <v>15</v>
      </c>
    </row>
    <row r="222" spans="1:4" x14ac:dyDescent="0.25">
      <c r="A222">
        <f t="shared" si="3"/>
        <v>221</v>
      </c>
      <c r="B222" s="1">
        <v>45527</v>
      </c>
      <c r="C222" s="1" t="s">
        <v>2240</v>
      </c>
      <c r="D222">
        <v>15</v>
      </c>
    </row>
    <row r="223" spans="1:4" x14ac:dyDescent="0.25">
      <c r="A223">
        <f t="shared" si="3"/>
        <v>222</v>
      </c>
      <c r="B223" s="1">
        <v>45527</v>
      </c>
      <c r="C223" s="1" t="s">
        <v>2211</v>
      </c>
      <c r="D223">
        <v>15</v>
      </c>
    </row>
    <row r="224" spans="1:4" x14ac:dyDescent="0.25">
      <c r="A224">
        <f t="shared" si="3"/>
        <v>223</v>
      </c>
      <c r="B224" s="1">
        <v>45528</v>
      </c>
      <c r="C224" s="1" t="s">
        <v>2194</v>
      </c>
      <c r="D224">
        <v>15</v>
      </c>
    </row>
    <row r="225" spans="1:4" x14ac:dyDescent="0.25">
      <c r="A225">
        <f t="shared" si="3"/>
        <v>224</v>
      </c>
      <c r="B225" s="1">
        <v>45528</v>
      </c>
      <c r="C225" s="1" t="s">
        <v>2235</v>
      </c>
      <c r="D225">
        <v>15</v>
      </c>
    </row>
    <row r="226" spans="1:4" x14ac:dyDescent="0.25">
      <c r="A226">
        <f t="shared" si="3"/>
        <v>225</v>
      </c>
      <c r="B226" s="1">
        <v>45529</v>
      </c>
      <c r="C226" s="1" t="s">
        <v>2243</v>
      </c>
      <c r="D226">
        <v>15</v>
      </c>
    </row>
    <row r="227" spans="1:4" x14ac:dyDescent="0.25">
      <c r="A227">
        <f t="shared" si="3"/>
        <v>226</v>
      </c>
      <c r="B227" s="1">
        <v>45530</v>
      </c>
      <c r="C227" s="1" t="s">
        <v>2224</v>
      </c>
      <c r="D227">
        <v>15</v>
      </c>
    </row>
    <row r="228" spans="1:4" x14ac:dyDescent="0.25">
      <c r="A228">
        <f t="shared" si="3"/>
        <v>227</v>
      </c>
      <c r="B228" s="1">
        <v>45531</v>
      </c>
      <c r="C228" s="1" t="s">
        <v>2236</v>
      </c>
      <c r="D228">
        <v>10</v>
      </c>
    </row>
    <row r="229" spans="1:4" x14ac:dyDescent="0.25">
      <c r="A229">
        <f t="shared" si="3"/>
        <v>228</v>
      </c>
      <c r="B229" s="1">
        <v>45534</v>
      </c>
      <c r="C229" s="1" t="s">
        <v>2240</v>
      </c>
      <c r="D229">
        <v>15</v>
      </c>
    </row>
    <row r="230" spans="1:4" x14ac:dyDescent="0.25">
      <c r="A230">
        <f t="shared" si="3"/>
        <v>229</v>
      </c>
      <c r="B230" s="1">
        <v>45534</v>
      </c>
      <c r="C230" s="1" t="s">
        <v>2239</v>
      </c>
      <c r="D230">
        <v>15</v>
      </c>
    </row>
    <row r="231" spans="1:4" x14ac:dyDescent="0.25">
      <c r="A231">
        <f t="shared" si="3"/>
        <v>230</v>
      </c>
      <c r="B231" s="1">
        <v>45536</v>
      </c>
      <c r="C231" s="1" t="s">
        <v>2186</v>
      </c>
      <c r="D231">
        <v>15</v>
      </c>
    </row>
    <row r="232" spans="1:4" x14ac:dyDescent="0.25">
      <c r="A232">
        <f t="shared" si="3"/>
        <v>231</v>
      </c>
      <c r="B232" s="1">
        <v>45537</v>
      </c>
      <c r="C232" s="1" t="s">
        <v>2244</v>
      </c>
      <c r="D232">
        <v>15</v>
      </c>
    </row>
    <row r="233" spans="1:4" x14ac:dyDescent="0.25">
      <c r="A233">
        <f t="shared" si="3"/>
        <v>232</v>
      </c>
      <c r="B233" s="1">
        <v>45555</v>
      </c>
      <c r="C233" s="1" t="s">
        <v>2242</v>
      </c>
      <c r="D233">
        <v>15</v>
      </c>
    </row>
    <row r="234" spans="1:4" x14ac:dyDescent="0.25">
      <c r="A234">
        <f t="shared" si="3"/>
        <v>233</v>
      </c>
      <c r="B234" s="1">
        <v>45537</v>
      </c>
      <c r="C234" s="1" t="s">
        <v>2190</v>
      </c>
      <c r="D234">
        <v>15</v>
      </c>
    </row>
    <row r="235" spans="1:4" x14ac:dyDescent="0.25">
      <c r="A235">
        <f t="shared" si="3"/>
        <v>234</v>
      </c>
      <c r="B235" s="1">
        <v>45538</v>
      </c>
      <c r="C235" s="1" t="s">
        <v>2203</v>
      </c>
      <c r="D235">
        <v>10</v>
      </c>
    </row>
    <row r="236" spans="1:4" x14ac:dyDescent="0.25">
      <c r="A236">
        <f t="shared" si="3"/>
        <v>235</v>
      </c>
      <c r="B236" s="1">
        <v>45539</v>
      </c>
      <c r="C236" s="1" t="s">
        <v>2224</v>
      </c>
      <c r="D236">
        <v>15</v>
      </c>
    </row>
    <row r="237" spans="1:4" x14ac:dyDescent="0.25">
      <c r="A237">
        <f t="shared" si="3"/>
        <v>236</v>
      </c>
      <c r="B237" s="1">
        <v>45540</v>
      </c>
      <c r="C237" s="1" t="s">
        <v>2237</v>
      </c>
      <c r="D237">
        <v>15</v>
      </c>
    </row>
    <row r="238" spans="1:4" x14ac:dyDescent="0.25">
      <c r="A238">
        <f t="shared" si="3"/>
        <v>237</v>
      </c>
      <c r="B238" s="1">
        <v>45541</v>
      </c>
      <c r="C238" s="1" t="s">
        <v>2240</v>
      </c>
      <c r="D238">
        <v>15</v>
      </c>
    </row>
    <row r="239" spans="1:4" x14ac:dyDescent="0.25">
      <c r="A239">
        <f t="shared" si="3"/>
        <v>238</v>
      </c>
      <c r="B239" s="1">
        <v>45541</v>
      </c>
      <c r="C239" s="1" t="s">
        <v>2245</v>
      </c>
      <c r="D239">
        <v>15</v>
      </c>
    </row>
    <row r="240" spans="1:4" x14ac:dyDescent="0.25">
      <c r="A240">
        <f t="shared" si="3"/>
        <v>239</v>
      </c>
      <c r="B240" s="1">
        <v>45541</v>
      </c>
      <c r="C240" s="1" t="s">
        <v>2242</v>
      </c>
      <c r="D240">
        <v>15</v>
      </c>
    </row>
    <row r="241" spans="1:4" x14ac:dyDescent="0.25">
      <c r="A241">
        <f t="shared" si="3"/>
        <v>240</v>
      </c>
      <c r="B241" s="1">
        <v>45541</v>
      </c>
      <c r="C241" s="1" t="s">
        <v>2246</v>
      </c>
      <c r="D241">
        <v>10</v>
      </c>
    </row>
    <row r="242" spans="1:4" x14ac:dyDescent="0.25">
      <c r="A242">
        <f t="shared" si="3"/>
        <v>241</v>
      </c>
      <c r="B242" s="1">
        <v>45541</v>
      </c>
      <c r="C242" s="1" t="s">
        <v>2194</v>
      </c>
      <c r="D242">
        <v>15</v>
      </c>
    </row>
    <row r="243" spans="1:4" x14ac:dyDescent="0.25">
      <c r="A243">
        <f t="shared" si="3"/>
        <v>242</v>
      </c>
      <c r="B243" s="1">
        <v>45543</v>
      </c>
      <c r="C243" s="1" t="s">
        <v>2243</v>
      </c>
      <c r="D243">
        <v>15</v>
      </c>
    </row>
    <row r="244" spans="1:4" x14ac:dyDescent="0.25">
      <c r="A244">
        <f t="shared" ref="A244:A260" si="4">A243+1</f>
        <v>243</v>
      </c>
      <c r="B244" s="1">
        <v>45543</v>
      </c>
      <c r="C244" s="1" t="s">
        <v>2238</v>
      </c>
      <c r="D244">
        <v>15</v>
      </c>
    </row>
    <row r="245" spans="1:4" x14ac:dyDescent="0.25">
      <c r="A245">
        <f t="shared" si="4"/>
        <v>244</v>
      </c>
      <c r="B245" s="1">
        <v>45544</v>
      </c>
      <c r="C245" s="1" t="s">
        <v>2190</v>
      </c>
      <c r="D245">
        <v>15</v>
      </c>
    </row>
    <row r="246" spans="1:4" x14ac:dyDescent="0.25">
      <c r="A246">
        <f t="shared" si="4"/>
        <v>245</v>
      </c>
      <c r="B246" s="1">
        <v>45546</v>
      </c>
      <c r="C246" s="1" t="s">
        <v>2224</v>
      </c>
      <c r="D246">
        <v>15</v>
      </c>
    </row>
    <row r="247" spans="1:4" x14ac:dyDescent="0.25">
      <c r="A247">
        <f t="shared" si="4"/>
        <v>246</v>
      </c>
      <c r="B247" s="1">
        <v>45555</v>
      </c>
      <c r="C247" s="1" t="s">
        <v>2239</v>
      </c>
      <c r="D247">
        <v>15</v>
      </c>
    </row>
    <row r="248" spans="1:4" x14ac:dyDescent="0.25">
      <c r="A248">
        <f t="shared" si="4"/>
        <v>247</v>
      </c>
      <c r="B248" s="1">
        <v>45546</v>
      </c>
      <c r="C248" s="1" t="s">
        <v>2247</v>
      </c>
      <c r="D248">
        <v>15</v>
      </c>
    </row>
    <row r="249" spans="1:4" x14ac:dyDescent="0.25">
      <c r="A249">
        <f t="shared" si="4"/>
        <v>248</v>
      </c>
      <c r="B249" s="1">
        <v>45548</v>
      </c>
      <c r="C249" s="1" t="s">
        <v>2239</v>
      </c>
      <c r="D249">
        <v>15</v>
      </c>
    </row>
    <row r="250" spans="1:4" x14ac:dyDescent="0.25">
      <c r="A250">
        <f t="shared" si="4"/>
        <v>249</v>
      </c>
      <c r="B250" s="1">
        <v>45548</v>
      </c>
      <c r="C250" s="1" t="s">
        <v>2242</v>
      </c>
      <c r="D250">
        <v>10</v>
      </c>
    </row>
    <row r="251" spans="1:4" x14ac:dyDescent="0.25">
      <c r="A251">
        <f t="shared" si="4"/>
        <v>250</v>
      </c>
      <c r="B251" s="1">
        <v>45548</v>
      </c>
      <c r="C251" s="1" t="s">
        <v>2194</v>
      </c>
      <c r="D251">
        <v>15</v>
      </c>
    </row>
    <row r="252" spans="1:4" x14ac:dyDescent="0.25">
      <c r="A252">
        <f t="shared" si="4"/>
        <v>251</v>
      </c>
      <c r="B252" s="1">
        <v>45548</v>
      </c>
      <c r="C252" s="1" t="s">
        <v>2192</v>
      </c>
      <c r="D252">
        <v>15</v>
      </c>
    </row>
    <row r="253" spans="1:4" x14ac:dyDescent="0.25">
      <c r="A253">
        <f t="shared" si="4"/>
        <v>252</v>
      </c>
      <c r="B253" s="1">
        <v>45549</v>
      </c>
      <c r="C253" s="1" t="s">
        <v>2190</v>
      </c>
      <c r="D253">
        <v>15</v>
      </c>
    </row>
    <row r="254" spans="1:4" x14ac:dyDescent="0.25">
      <c r="A254">
        <f t="shared" si="4"/>
        <v>253</v>
      </c>
      <c r="B254" s="1">
        <v>45549</v>
      </c>
      <c r="C254" s="1" t="s">
        <v>2177</v>
      </c>
      <c r="D254">
        <v>10</v>
      </c>
    </row>
    <row r="255" spans="1:4" x14ac:dyDescent="0.25">
      <c r="A255">
        <f t="shared" si="4"/>
        <v>254</v>
      </c>
      <c r="B255" s="1">
        <v>45551</v>
      </c>
      <c r="C255" s="1" t="s">
        <v>2185</v>
      </c>
      <c r="D255">
        <v>15</v>
      </c>
    </row>
    <row r="256" spans="1:4" x14ac:dyDescent="0.25">
      <c r="A256">
        <f t="shared" si="4"/>
        <v>255</v>
      </c>
      <c r="B256" s="1">
        <v>45551</v>
      </c>
      <c r="C256" s="1" t="s">
        <v>2248</v>
      </c>
      <c r="D256">
        <v>15</v>
      </c>
    </row>
    <row r="257" spans="1:4" x14ac:dyDescent="0.25">
      <c r="A257">
        <f t="shared" si="4"/>
        <v>256</v>
      </c>
      <c r="B257" s="1">
        <v>45552</v>
      </c>
      <c r="C257" s="1" t="s">
        <v>2203</v>
      </c>
      <c r="D257">
        <v>10</v>
      </c>
    </row>
    <row r="258" spans="1:4" x14ac:dyDescent="0.25">
      <c r="A258">
        <f t="shared" si="4"/>
        <v>257</v>
      </c>
      <c r="B258" s="1">
        <v>45552</v>
      </c>
      <c r="C258" s="1" t="s">
        <v>2215</v>
      </c>
      <c r="D258">
        <v>10</v>
      </c>
    </row>
    <row r="259" spans="1:4" x14ac:dyDescent="0.25">
      <c r="A259">
        <f t="shared" si="4"/>
        <v>258</v>
      </c>
      <c r="B259" s="1">
        <v>45554</v>
      </c>
      <c r="C259" s="1" t="s">
        <v>2249</v>
      </c>
      <c r="D259">
        <v>15</v>
      </c>
    </row>
    <row r="260" spans="1:4" x14ac:dyDescent="0.25">
      <c r="A260">
        <f t="shared" si="4"/>
        <v>259</v>
      </c>
      <c r="B260" s="1">
        <v>45555</v>
      </c>
      <c r="C260" s="1" t="s">
        <v>2240</v>
      </c>
      <c r="D260">
        <v>15</v>
      </c>
    </row>
    <row r="261" spans="1:4" x14ac:dyDescent="0.25">
      <c r="A261">
        <f t="shared" ref="A261:A267" si="5">A260+1</f>
        <v>260</v>
      </c>
      <c r="B261" s="1">
        <v>45555</v>
      </c>
      <c r="C261" s="1" t="s">
        <v>2250</v>
      </c>
      <c r="D261">
        <v>10</v>
      </c>
    </row>
    <row r="262" spans="1:4" x14ac:dyDescent="0.25">
      <c r="A262">
        <f t="shared" si="5"/>
        <v>261</v>
      </c>
      <c r="B262" s="1">
        <v>45556</v>
      </c>
      <c r="C262" s="1" t="s">
        <v>2194</v>
      </c>
      <c r="D262">
        <v>15</v>
      </c>
    </row>
    <row r="263" spans="1:4" x14ac:dyDescent="0.25">
      <c r="A263">
        <f t="shared" si="5"/>
        <v>262</v>
      </c>
      <c r="B263" s="1">
        <v>45663</v>
      </c>
      <c r="C263" s="1" t="s">
        <v>2237</v>
      </c>
      <c r="D263">
        <v>15</v>
      </c>
    </row>
    <row r="264" spans="1:4" x14ac:dyDescent="0.25">
      <c r="A264">
        <f t="shared" si="5"/>
        <v>263</v>
      </c>
      <c r="B264" s="1">
        <v>45560</v>
      </c>
      <c r="C264" s="1" t="s">
        <v>2177</v>
      </c>
      <c r="D264">
        <v>10</v>
      </c>
    </row>
    <row r="265" spans="1:4" x14ac:dyDescent="0.25">
      <c r="A265">
        <f t="shared" si="5"/>
        <v>264</v>
      </c>
      <c r="B265" s="1">
        <v>45560</v>
      </c>
      <c r="C265" s="1" t="s">
        <v>2179</v>
      </c>
      <c r="D265">
        <v>15</v>
      </c>
    </row>
    <row r="266" spans="1:4" x14ac:dyDescent="0.25">
      <c r="A266">
        <f t="shared" si="5"/>
        <v>265</v>
      </c>
      <c r="B266" s="1">
        <v>45562</v>
      </c>
      <c r="C266" s="1" t="s">
        <v>2251</v>
      </c>
      <c r="D266">
        <v>15</v>
      </c>
    </row>
    <row r="267" spans="1:4" x14ac:dyDescent="0.25">
      <c r="A267">
        <f t="shared" si="5"/>
        <v>266</v>
      </c>
      <c r="B267" s="1">
        <v>45562</v>
      </c>
      <c r="C267" s="1" t="s">
        <v>2242</v>
      </c>
      <c r="D267">
        <v>15</v>
      </c>
    </row>
    <row r="268" spans="1:4" x14ac:dyDescent="0.25">
      <c r="A268">
        <f t="shared" ref="A268:A331" si="6">A267+1</f>
        <v>267</v>
      </c>
      <c r="B268" s="1">
        <v>45580</v>
      </c>
      <c r="C268" s="1" t="s">
        <v>2177</v>
      </c>
      <c r="D268">
        <v>10</v>
      </c>
    </row>
    <row r="269" spans="1:4" x14ac:dyDescent="0.25">
      <c r="A269">
        <f t="shared" si="6"/>
        <v>268</v>
      </c>
      <c r="B269" s="1">
        <v>45562</v>
      </c>
      <c r="C269" s="1" t="s">
        <v>2204</v>
      </c>
      <c r="D269">
        <v>10</v>
      </c>
    </row>
    <row r="270" spans="1:4" x14ac:dyDescent="0.25">
      <c r="A270">
        <f t="shared" si="6"/>
        <v>269</v>
      </c>
      <c r="B270" s="1">
        <v>45562</v>
      </c>
      <c r="C270" s="1" t="s">
        <v>2240</v>
      </c>
      <c r="D270">
        <v>15</v>
      </c>
    </row>
    <row r="271" spans="1:4" x14ac:dyDescent="0.25">
      <c r="A271">
        <f t="shared" si="6"/>
        <v>270</v>
      </c>
      <c r="B271" s="1">
        <v>45563</v>
      </c>
      <c r="C271" s="1" t="s">
        <v>2252</v>
      </c>
      <c r="D271">
        <v>15</v>
      </c>
    </row>
    <row r="272" spans="1:4" x14ac:dyDescent="0.25">
      <c r="A272">
        <f t="shared" si="6"/>
        <v>271</v>
      </c>
      <c r="B272" s="1">
        <v>45565</v>
      </c>
      <c r="C272" s="1" t="s">
        <v>2194</v>
      </c>
      <c r="D272">
        <v>15</v>
      </c>
    </row>
    <row r="273" spans="1:4" x14ac:dyDescent="0.25">
      <c r="A273">
        <f t="shared" si="6"/>
        <v>272</v>
      </c>
      <c r="B273" s="1">
        <v>45565</v>
      </c>
      <c r="C273" s="1" t="s">
        <v>2190</v>
      </c>
      <c r="D273">
        <v>10</v>
      </c>
    </row>
    <row r="274" spans="1:4" x14ac:dyDescent="0.25">
      <c r="A274">
        <f t="shared" si="6"/>
        <v>273</v>
      </c>
      <c r="B274" s="1">
        <v>45568</v>
      </c>
      <c r="C274" s="1" t="s">
        <v>2224</v>
      </c>
      <c r="D274">
        <v>15</v>
      </c>
    </row>
    <row r="275" spans="1:4" x14ac:dyDescent="0.25">
      <c r="A275">
        <f t="shared" si="6"/>
        <v>274</v>
      </c>
      <c r="B275" s="1">
        <v>45569</v>
      </c>
      <c r="C275" s="1" t="s">
        <v>2236</v>
      </c>
      <c r="D275">
        <v>10</v>
      </c>
    </row>
    <row r="276" spans="1:4" x14ac:dyDescent="0.25">
      <c r="A276">
        <f t="shared" si="6"/>
        <v>275</v>
      </c>
      <c r="B276" s="1">
        <v>45569</v>
      </c>
      <c r="C276" s="1" t="s">
        <v>2204</v>
      </c>
      <c r="D276">
        <v>10</v>
      </c>
    </row>
    <row r="277" spans="1:4" x14ac:dyDescent="0.25">
      <c r="A277">
        <f t="shared" si="6"/>
        <v>276</v>
      </c>
      <c r="B277" s="1">
        <v>45569</v>
      </c>
      <c r="C277" s="1" t="s">
        <v>2250</v>
      </c>
      <c r="D277">
        <v>15</v>
      </c>
    </row>
    <row r="278" spans="1:4" x14ac:dyDescent="0.25">
      <c r="A278">
        <f t="shared" si="6"/>
        <v>277</v>
      </c>
      <c r="B278" s="1">
        <v>45569</v>
      </c>
      <c r="C278" s="1" t="s">
        <v>2253</v>
      </c>
      <c r="D278">
        <v>15</v>
      </c>
    </row>
    <row r="279" spans="1:4" x14ac:dyDescent="0.25">
      <c r="A279">
        <f t="shared" si="6"/>
        <v>278</v>
      </c>
      <c r="B279" s="1">
        <v>45569</v>
      </c>
      <c r="C279" s="1" t="s">
        <v>2194</v>
      </c>
      <c r="D279">
        <v>15</v>
      </c>
    </row>
    <row r="280" spans="1:4" x14ac:dyDescent="0.25">
      <c r="A280">
        <f t="shared" si="6"/>
        <v>279</v>
      </c>
      <c r="B280" s="1">
        <v>45569</v>
      </c>
      <c r="C280" s="1" t="s">
        <v>2223</v>
      </c>
      <c r="D280">
        <v>15</v>
      </c>
    </row>
    <row r="281" spans="1:4" x14ac:dyDescent="0.25">
      <c r="A281">
        <f t="shared" si="6"/>
        <v>280</v>
      </c>
      <c r="B281" s="1">
        <v>45571</v>
      </c>
      <c r="C281" s="1" t="s">
        <v>2177</v>
      </c>
      <c r="D281">
        <v>10</v>
      </c>
    </row>
    <row r="282" spans="1:4" x14ac:dyDescent="0.25">
      <c r="A282">
        <f t="shared" si="6"/>
        <v>281</v>
      </c>
      <c r="B282" s="1">
        <v>45572</v>
      </c>
      <c r="C282" s="1" t="s">
        <v>2186</v>
      </c>
      <c r="D282">
        <v>15</v>
      </c>
    </row>
    <row r="283" spans="1:4" x14ac:dyDescent="0.25">
      <c r="A283">
        <f t="shared" si="6"/>
        <v>282</v>
      </c>
      <c r="B283" s="1">
        <v>45572</v>
      </c>
      <c r="C283" s="1" t="s">
        <v>2179</v>
      </c>
      <c r="D283">
        <v>15</v>
      </c>
    </row>
    <row r="284" spans="1:4" x14ac:dyDescent="0.25">
      <c r="A284">
        <f t="shared" si="6"/>
        <v>283</v>
      </c>
      <c r="B284" s="1">
        <v>45575</v>
      </c>
      <c r="C284" s="1" t="s">
        <v>2203</v>
      </c>
      <c r="D284">
        <v>10</v>
      </c>
    </row>
    <row r="285" spans="1:4" x14ac:dyDescent="0.25">
      <c r="A285">
        <f t="shared" si="6"/>
        <v>284</v>
      </c>
      <c r="B285" s="1">
        <v>45575</v>
      </c>
      <c r="C285" s="1" t="s">
        <v>2254</v>
      </c>
      <c r="D285">
        <v>15</v>
      </c>
    </row>
    <row r="286" spans="1:4" x14ac:dyDescent="0.25">
      <c r="A286">
        <f t="shared" si="6"/>
        <v>285</v>
      </c>
      <c r="B286" s="1">
        <v>45576</v>
      </c>
      <c r="C286" s="1" t="s">
        <v>2255</v>
      </c>
      <c r="D286">
        <v>15</v>
      </c>
    </row>
    <row r="287" spans="1:4" x14ac:dyDescent="0.25">
      <c r="A287">
        <f t="shared" si="6"/>
        <v>286</v>
      </c>
      <c r="B287" s="1">
        <v>45576</v>
      </c>
      <c r="C287" s="1" t="s">
        <v>2242</v>
      </c>
      <c r="D287">
        <v>10</v>
      </c>
    </row>
    <row r="288" spans="1:4" x14ac:dyDescent="0.25">
      <c r="A288">
        <f t="shared" si="6"/>
        <v>287</v>
      </c>
      <c r="B288" s="1">
        <v>45576</v>
      </c>
      <c r="C288" s="1" t="s">
        <v>2240</v>
      </c>
      <c r="D288">
        <v>15</v>
      </c>
    </row>
    <row r="289" spans="1:4" x14ac:dyDescent="0.25">
      <c r="A289">
        <f t="shared" si="6"/>
        <v>288</v>
      </c>
      <c r="B289" s="1">
        <v>45576</v>
      </c>
      <c r="C289" s="1" t="s">
        <v>2204</v>
      </c>
      <c r="D289">
        <v>10</v>
      </c>
    </row>
    <row r="290" spans="1:4" x14ac:dyDescent="0.25">
      <c r="A290">
        <f t="shared" si="6"/>
        <v>289</v>
      </c>
      <c r="B290" s="1">
        <v>45576</v>
      </c>
      <c r="C290" s="1" t="s">
        <v>2256</v>
      </c>
      <c r="D290">
        <v>15</v>
      </c>
    </row>
    <row r="291" spans="1:4" x14ac:dyDescent="0.25">
      <c r="A291">
        <f t="shared" si="6"/>
        <v>290</v>
      </c>
      <c r="B291" s="1">
        <v>45575</v>
      </c>
      <c r="C291" s="1" t="s">
        <v>2185</v>
      </c>
      <c r="D291">
        <v>15</v>
      </c>
    </row>
    <row r="292" spans="1:4" x14ac:dyDescent="0.25">
      <c r="A292">
        <f t="shared" si="6"/>
        <v>291</v>
      </c>
      <c r="B292" s="1">
        <v>45578</v>
      </c>
      <c r="C292" s="1" t="s">
        <v>2194</v>
      </c>
      <c r="D292">
        <v>15</v>
      </c>
    </row>
    <row r="293" spans="1:4" x14ac:dyDescent="0.25">
      <c r="A293">
        <f t="shared" si="6"/>
        <v>292</v>
      </c>
      <c r="B293" s="1">
        <v>45579</v>
      </c>
      <c r="C293" s="1" t="s">
        <v>2257</v>
      </c>
      <c r="D293">
        <v>15</v>
      </c>
    </row>
    <row r="294" spans="1:4" x14ac:dyDescent="0.25">
      <c r="A294">
        <f t="shared" si="6"/>
        <v>293</v>
      </c>
      <c r="B294" s="1">
        <v>45579</v>
      </c>
      <c r="C294" s="1" t="s">
        <v>2226</v>
      </c>
      <c r="D294">
        <v>15</v>
      </c>
    </row>
    <row r="295" spans="1:4" x14ac:dyDescent="0.25">
      <c r="A295">
        <f t="shared" si="6"/>
        <v>294</v>
      </c>
      <c r="B295" s="1">
        <v>45580</v>
      </c>
      <c r="C295" s="1" t="s">
        <v>2190</v>
      </c>
      <c r="D295">
        <v>15</v>
      </c>
    </row>
    <row r="296" spans="1:4" x14ac:dyDescent="0.25">
      <c r="A296">
        <f t="shared" si="6"/>
        <v>295</v>
      </c>
      <c r="B296" s="1">
        <v>45580</v>
      </c>
      <c r="C296" s="1" t="s">
        <v>2224</v>
      </c>
      <c r="D296">
        <v>15</v>
      </c>
    </row>
    <row r="297" spans="1:4" x14ac:dyDescent="0.25">
      <c r="A297">
        <f t="shared" si="6"/>
        <v>296</v>
      </c>
      <c r="B297" s="1">
        <v>45583</v>
      </c>
      <c r="C297" s="1" t="s">
        <v>2242</v>
      </c>
      <c r="D297">
        <v>15</v>
      </c>
    </row>
    <row r="298" spans="1:4" x14ac:dyDescent="0.25">
      <c r="A298">
        <f t="shared" si="6"/>
        <v>297</v>
      </c>
      <c r="B298" s="1">
        <v>45583</v>
      </c>
      <c r="C298" s="1" t="s">
        <v>2240</v>
      </c>
      <c r="D298">
        <v>15</v>
      </c>
    </row>
    <row r="299" spans="1:4" x14ac:dyDescent="0.25">
      <c r="A299">
        <f t="shared" si="6"/>
        <v>298</v>
      </c>
      <c r="B299" s="1">
        <v>45583</v>
      </c>
      <c r="C299" s="1" t="s">
        <v>2255</v>
      </c>
      <c r="D299">
        <v>15</v>
      </c>
    </row>
    <row r="300" spans="1:4" x14ac:dyDescent="0.25">
      <c r="A300">
        <f t="shared" si="6"/>
        <v>299</v>
      </c>
      <c r="B300" s="1">
        <v>45584</v>
      </c>
      <c r="C300" s="1" t="s">
        <v>2249</v>
      </c>
      <c r="D300">
        <v>10</v>
      </c>
    </row>
    <row r="301" spans="1:4" x14ac:dyDescent="0.25">
      <c r="A301">
        <f t="shared" si="6"/>
        <v>300</v>
      </c>
      <c r="B301" s="1">
        <v>45584</v>
      </c>
      <c r="C301" s="1" t="s">
        <v>2186</v>
      </c>
      <c r="D301">
        <v>15</v>
      </c>
    </row>
    <row r="302" spans="1:4" x14ac:dyDescent="0.25">
      <c r="A302">
        <f t="shared" si="6"/>
        <v>301</v>
      </c>
      <c r="B302" s="1">
        <v>45584</v>
      </c>
      <c r="C302" s="1" t="s">
        <v>2258</v>
      </c>
      <c r="D302">
        <v>15</v>
      </c>
    </row>
    <row r="303" spans="1:4" x14ac:dyDescent="0.25">
      <c r="A303">
        <f t="shared" si="6"/>
        <v>302</v>
      </c>
      <c r="B303" s="1">
        <v>45584</v>
      </c>
      <c r="C303" s="1" t="s">
        <v>2194</v>
      </c>
      <c r="D303">
        <v>15</v>
      </c>
    </row>
    <row r="304" spans="1:4" x14ac:dyDescent="0.25">
      <c r="A304">
        <f t="shared" si="6"/>
        <v>303</v>
      </c>
      <c r="B304" s="1">
        <v>45585</v>
      </c>
      <c r="C304" s="1" t="s">
        <v>2186</v>
      </c>
      <c r="D304">
        <v>10</v>
      </c>
    </row>
    <row r="305" spans="1:4" x14ac:dyDescent="0.25">
      <c r="A305">
        <f t="shared" si="6"/>
        <v>304</v>
      </c>
      <c r="B305" s="1">
        <v>45585</v>
      </c>
      <c r="C305" s="1" t="s">
        <v>2226</v>
      </c>
      <c r="D305">
        <v>15</v>
      </c>
    </row>
    <row r="306" spans="1:4" x14ac:dyDescent="0.25">
      <c r="A306">
        <f t="shared" si="6"/>
        <v>305</v>
      </c>
      <c r="B306" s="1">
        <v>45586</v>
      </c>
      <c r="C306" s="1" t="s">
        <v>2177</v>
      </c>
      <c r="D306">
        <v>10</v>
      </c>
    </row>
    <row r="307" spans="1:4" x14ac:dyDescent="0.25">
      <c r="A307">
        <f t="shared" si="6"/>
        <v>306</v>
      </c>
      <c r="B307" s="1">
        <v>45588</v>
      </c>
      <c r="C307" s="1" t="s">
        <v>2237</v>
      </c>
      <c r="D307">
        <v>15</v>
      </c>
    </row>
    <row r="308" spans="1:4" x14ac:dyDescent="0.25">
      <c r="A308">
        <f t="shared" si="6"/>
        <v>307</v>
      </c>
      <c r="B308" s="1">
        <v>45588</v>
      </c>
      <c r="C308" s="1" t="s">
        <v>2224</v>
      </c>
      <c r="D308">
        <v>15</v>
      </c>
    </row>
    <row r="309" spans="1:4" x14ac:dyDescent="0.25">
      <c r="A309">
        <f t="shared" si="6"/>
        <v>308</v>
      </c>
      <c r="B309" s="1">
        <v>45590</v>
      </c>
      <c r="C309" s="1" t="s">
        <v>2179</v>
      </c>
      <c r="D309">
        <v>15</v>
      </c>
    </row>
    <row r="310" spans="1:4" x14ac:dyDescent="0.25">
      <c r="A310">
        <f t="shared" si="6"/>
        <v>309</v>
      </c>
      <c r="B310" s="1">
        <v>45590</v>
      </c>
      <c r="C310" s="1" t="s">
        <v>2255</v>
      </c>
      <c r="D310">
        <v>15</v>
      </c>
    </row>
    <row r="311" spans="1:4" x14ac:dyDescent="0.25">
      <c r="A311">
        <f t="shared" si="6"/>
        <v>310</v>
      </c>
      <c r="B311" s="1">
        <v>45592</v>
      </c>
      <c r="C311" s="1" t="s">
        <v>2177</v>
      </c>
      <c r="D311">
        <v>10</v>
      </c>
    </row>
    <row r="312" spans="1:4" x14ac:dyDescent="0.25">
      <c r="A312">
        <f t="shared" si="6"/>
        <v>311</v>
      </c>
      <c r="B312" s="1">
        <v>45593</v>
      </c>
      <c r="C312" s="1" t="s">
        <v>2192</v>
      </c>
      <c r="D312">
        <v>15</v>
      </c>
    </row>
    <row r="313" spans="1:4" x14ac:dyDescent="0.25">
      <c r="A313">
        <f t="shared" si="6"/>
        <v>312</v>
      </c>
      <c r="B313" s="1">
        <v>45593</v>
      </c>
      <c r="C313" s="1" t="s">
        <v>2211</v>
      </c>
      <c r="D313">
        <v>15</v>
      </c>
    </row>
    <row r="314" spans="1:4" x14ac:dyDescent="0.25">
      <c r="A314">
        <f t="shared" si="6"/>
        <v>313</v>
      </c>
      <c r="B314" s="1">
        <v>45593</v>
      </c>
      <c r="C314" s="1" t="s">
        <v>2185</v>
      </c>
      <c r="D314">
        <v>15</v>
      </c>
    </row>
    <row r="315" spans="1:4" x14ac:dyDescent="0.25">
      <c r="A315">
        <f t="shared" si="6"/>
        <v>314</v>
      </c>
      <c r="B315" s="1">
        <v>45594</v>
      </c>
      <c r="C315" s="1" t="s">
        <v>2237</v>
      </c>
      <c r="D315">
        <v>15</v>
      </c>
    </row>
    <row r="316" spans="1:4" x14ac:dyDescent="0.25">
      <c r="A316">
        <f t="shared" si="6"/>
        <v>315</v>
      </c>
      <c r="B316" s="1">
        <v>45594</v>
      </c>
      <c r="C316" s="1" t="s">
        <v>2252</v>
      </c>
      <c r="D316">
        <v>15</v>
      </c>
    </row>
    <row r="317" spans="1:4" x14ac:dyDescent="0.25">
      <c r="A317">
        <f t="shared" si="6"/>
        <v>316</v>
      </c>
      <c r="B317" s="1">
        <v>45595</v>
      </c>
      <c r="C317" s="1" t="s">
        <v>2201</v>
      </c>
      <c r="D317">
        <v>15</v>
      </c>
    </row>
    <row r="318" spans="1:4" x14ac:dyDescent="0.25">
      <c r="A318">
        <f t="shared" si="6"/>
        <v>317</v>
      </c>
      <c r="B318" s="1">
        <v>45596</v>
      </c>
      <c r="C318" s="1" t="s">
        <v>2237</v>
      </c>
      <c r="D318">
        <v>15</v>
      </c>
    </row>
    <row r="319" spans="1:4" x14ac:dyDescent="0.25">
      <c r="A319">
        <f t="shared" si="6"/>
        <v>318</v>
      </c>
      <c r="B319" s="1">
        <v>45596</v>
      </c>
      <c r="C319" s="1" t="s">
        <v>2194</v>
      </c>
      <c r="D319">
        <v>15</v>
      </c>
    </row>
    <row r="320" spans="1:4" x14ac:dyDescent="0.25">
      <c r="A320">
        <f t="shared" si="6"/>
        <v>319</v>
      </c>
      <c r="B320" s="1">
        <v>45596</v>
      </c>
      <c r="C320" s="1" t="s">
        <v>2259</v>
      </c>
      <c r="D320">
        <v>15</v>
      </c>
    </row>
    <row r="321" spans="1:4" x14ac:dyDescent="0.25">
      <c r="A321">
        <f t="shared" si="6"/>
        <v>320</v>
      </c>
      <c r="B321" s="1">
        <v>45597</v>
      </c>
      <c r="C321" s="1" t="s">
        <v>2203</v>
      </c>
      <c r="D321">
        <v>10</v>
      </c>
    </row>
    <row r="322" spans="1:4" x14ac:dyDescent="0.25">
      <c r="A322">
        <f t="shared" si="6"/>
        <v>321</v>
      </c>
      <c r="B322" s="1">
        <v>45597</v>
      </c>
      <c r="C322" s="1" t="s">
        <v>2242</v>
      </c>
      <c r="D322">
        <v>15</v>
      </c>
    </row>
    <row r="323" spans="1:4" x14ac:dyDescent="0.25">
      <c r="A323">
        <f t="shared" si="6"/>
        <v>322</v>
      </c>
      <c r="B323" s="1">
        <v>45597</v>
      </c>
      <c r="C323" s="1" t="s">
        <v>2255</v>
      </c>
      <c r="D323">
        <v>15</v>
      </c>
    </row>
    <row r="324" spans="1:4" x14ac:dyDescent="0.25">
      <c r="A324">
        <f t="shared" si="6"/>
        <v>323</v>
      </c>
      <c r="B324" s="1">
        <v>45598</v>
      </c>
      <c r="C324" s="1" t="s">
        <v>2249</v>
      </c>
      <c r="D324">
        <v>10</v>
      </c>
    </row>
    <row r="325" spans="1:4" x14ac:dyDescent="0.25">
      <c r="A325">
        <f t="shared" si="6"/>
        <v>324</v>
      </c>
      <c r="B325" s="1">
        <v>45599</v>
      </c>
      <c r="C325" s="1" t="s">
        <v>2260</v>
      </c>
      <c r="D325">
        <v>10</v>
      </c>
    </row>
    <row r="326" spans="1:4" x14ac:dyDescent="0.25">
      <c r="A326">
        <f t="shared" si="6"/>
        <v>325</v>
      </c>
      <c r="B326" s="1">
        <v>45600</v>
      </c>
      <c r="C326" s="1" t="s">
        <v>2261</v>
      </c>
      <c r="D326">
        <v>15</v>
      </c>
    </row>
    <row r="327" spans="1:4" x14ac:dyDescent="0.25">
      <c r="A327">
        <f t="shared" si="6"/>
        <v>326</v>
      </c>
      <c r="B327" s="1">
        <v>46020</v>
      </c>
      <c r="C327" s="1" t="s">
        <v>2249</v>
      </c>
      <c r="D327">
        <v>15</v>
      </c>
    </row>
    <row r="328" spans="1:4" x14ac:dyDescent="0.25">
      <c r="A328">
        <f t="shared" si="6"/>
        <v>327</v>
      </c>
      <c r="B328" s="1">
        <v>45604</v>
      </c>
      <c r="C328" s="1" t="s">
        <v>2262</v>
      </c>
      <c r="D328">
        <v>10</v>
      </c>
    </row>
    <row r="329" spans="1:4" x14ac:dyDescent="0.25">
      <c r="A329">
        <f t="shared" si="6"/>
        <v>328</v>
      </c>
      <c r="B329" s="1">
        <v>45604</v>
      </c>
      <c r="C329" s="1" t="s">
        <v>2215</v>
      </c>
      <c r="D329">
        <v>10</v>
      </c>
    </row>
    <row r="330" spans="1:4" x14ac:dyDescent="0.25">
      <c r="A330">
        <f t="shared" si="6"/>
        <v>329</v>
      </c>
      <c r="B330" s="1">
        <v>45604</v>
      </c>
      <c r="C330" s="1" t="s">
        <v>2240</v>
      </c>
      <c r="D330">
        <v>15</v>
      </c>
    </row>
    <row r="331" spans="1:4" x14ac:dyDescent="0.25">
      <c r="A331">
        <f t="shared" si="6"/>
        <v>330</v>
      </c>
      <c r="B331" s="1">
        <v>45604</v>
      </c>
      <c r="C331" s="1" t="s">
        <v>2255</v>
      </c>
      <c r="D331">
        <v>15</v>
      </c>
    </row>
    <row r="332" spans="1:4" x14ac:dyDescent="0.25">
      <c r="A332">
        <f t="shared" ref="A332:A395" si="7">A331+1</f>
        <v>331</v>
      </c>
      <c r="B332" s="1">
        <v>45604</v>
      </c>
      <c r="C332" s="1" t="s">
        <v>2194</v>
      </c>
      <c r="D332">
        <v>15</v>
      </c>
    </row>
    <row r="333" spans="1:4" x14ac:dyDescent="0.25">
      <c r="A333">
        <f t="shared" si="7"/>
        <v>332</v>
      </c>
      <c r="B333" s="1">
        <v>45604</v>
      </c>
      <c r="C333" s="1" t="s">
        <v>2224</v>
      </c>
      <c r="D333">
        <v>15</v>
      </c>
    </row>
    <row r="334" spans="1:4" x14ac:dyDescent="0.25">
      <c r="A334">
        <f t="shared" si="7"/>
        <v>333</v>
      </c>
      <c r="B334" s="1">
        <v>45604</v>
      </c>
      <c r="C334" s="1" t="s">
        <v>2177</v>
      </c>
      <c r="D334">
        <v>10</v>
      </c>
    </row>
    <row r="335" spans="1:4" x14ac:dyDescent="0.25">
      <c r="A335">
        <f t="shared" si="7"/>
        <v>334</v>
      </c>
      <c r="B335" s="1">
        <v>45604</v>
      </c>
      <c r="C335" s="1" t="s">
        <v>2177</v>
      </c>
      <c r="D335">
        <v>10</v>
      </c>
    </row>
    <row r="336" spans="1:4" x14ac:dyDescent="0.25">
      <c r="A336">
        <f t="shared" si="7"/>
        <v>335</v>
      </c>
      <c r="B336" s="1">
        <v>45607</v>
      </c>
      <c r="C336" s="1" t="s">
        <v>2190</v>
      </c>
      <c r="D336">
        <v>15</v>
      </c>
    </row>
    <row r="337" spans="1:4" x14ac:dyDescent="0.25">
      <c r="A337">
        <f t="shared" si="7"/>
        <v>336</v>
      </c>
      <c r="B337" s="1">
        <v>45607</v>
      </c>
      <c r="C337" s="1" t="s">
        <v>2223</v>
      </c>
      <c r="D337">
        <v>15</v>
      </c>
    </row>
    <row r="338" spans="1:4" x14ac:dyDescent="0.25">
      <c r="A338">
        <f t="shared" si="7"/>
        <v>337</v>
      </c>
      <c r="B338" s="1">
        <v>45610</v>
      </c>
      <c r="C338" s="1" t="s">
        <v>2249</v>
      </c>
      <c r="D338">
        <v>15</v>
      </c>
    </row>
    <row r="339" spans="1:4" x14ac:dyDescent="0.25">
      <c r="A339">
        <f t="shared" si="7"/>
        <v>338</v>
      </c>
      <c r="B339" s="1">
        <v>45610</v>
      </c>
      <c r="C339" s="1" t="s">
        <v>2201</v>
      </c>
      <c r="D339">
        <v>15</v>
      </c>
    </row>
    <row r="340" spans="1:4" x14ac:dyDescent="0.25">
      <c r="A340">
        <f t="shared" si="7"/>
        <v>339</v>
      </c>
      <c r="B340" s="1">
        <v>45610</v>
      </c>
      <c r="C340" s="1" t="s">
        <v>2215</v>
      </c>
      <c r="D340">
        <v>10</v>
      </c>
    </row>
    <row r="341" spans="1:4" x14ac:dyDescent="0.25">
      <c r="A341">
        <f t="shared" si="7"/>
        <v>340</v>
      </c>
      <c r="B341" s="1">
        <v>45610</v>
      </c>
      <c r="C341" s="1" t="s">
        <v>2263</v>
      </c>
      <c r="D341">
        <v>15</v>
      </c>
    </row>
    <row r="342" spans="1:4" x14ac:dyDescent="0.25">
      <c r="A342">
        <f t="shared" si="7"/>
        <v>341</v>
      </c>
      <c r="B342" s="1">
        <v>45611</v>
      </c>
      <c r="C342" s="1" t="s">
        <v>2242</v>
      </c>
      <c r="D342">
        <v>15</v>
      </c>
    </row>
    <row r="343" spans="1:4" x14ac:dyDescent="0.25">
      <c r="A343">
        <f t="shared" si="7"/>
        <v>342</v>
      </c>
      <c r="B343" s="1">
        <v>45611</v>
      </c>
      <c r="C343" s="1" t="s">
        <v>2240</v>
      </c>
      <c r="D343">
        <v>15</v>
      </c>
    </row>
    <row r="344" spans="1:4" x14ac:dyDescent="0.25">
      <c r="A344">
        <f t="shared" si="7"/>
        <v>343</v>
      </c>
      <c r="B344" s="1">
        <v>45611</v>
      </c>
      <c r="C344" s="1" t="s">
        <v>2255</v>
      </c>
      <c r="D344">
        <v>15</v>
      </c>
    </row>
    <row r="345" spans="1:4" x14ac:dyDescent="0.25">
      <c r="A345">
        <f t="shared" si="7"/>
        <v>344</v>
      </c>
      <c r="B345" s="1">
        <v>45612</v>
      </c>
      <c r="C345" s="1" t="s">
        <v>2264</v>
      </c>
      <c r="D345">
        <v>15</v>
      </c>
    </row>
    <row r="346" spans="1:4" x14ac:dyDescent="0.25">
      <c r="A346">
        <f t="shared" si="7"/>
        <v>345</v>
      </c>
      <c r="B346" s="1">
        <v>45614</v>
      </c>
      <c r="C346" s="1" t="s">
        <v>2237</v>
      </c>
      <c r="D346">
        <v>15</v>
      </c>
    </row>
    <row r="347" spans="1:4" x14ac:dyDescent="0.25">
      <c r="A347">
        <f t="shared" si="7"/>
        <v>346</v>
      </c>
      <c r="B347" s="1">
        <v>45614</v>
      </c>
      <c r="C347" s="1" t="s">
        <v>2177</v>
      </c>
      <c r="D347">
        <v>10</v>
      </c>
    </row>
    <row r="348" spans="1:4" x14ac:dyDescent="0.25">
      <c r="A348">
        <f t="shared" si="7"/>
        <v>347</v>
      </c>
      <c r="B348" s="1">
        <v>45614</v>
      </c>
      <c r="C348" s="1" t="s">
        <v>2265</v>
      </c>
      <c r="D348">
        <v>15</v>
      </c>
    </row>
    <row r="349" spans="1:4" x14ac:dyDescent="0.25">
      <c r="A349">
        <f t="shared" si="7"/>
        <v>348</v>
      </c>
      <c r="B349" s="1">
        <v>45615</v>
      </c>
      <c r="C349" s="1" t="s">
        <v>2252</v>
      </c>
      <c r="D349">
        <v>15</v>
      </c>
    </row>
    <row r="350" spans="1:4" x14ac:dyDescent="0.25">
      <c r="A350">
        <f t="shared" si="7"/>
        <v>349</v>
      </c>
      <c r="B350" s="1">
        <v>45616</v>
      </c>
      <c r="C350" s="1" t="s">
        <v>2237</v>
      </c>
      <c r="D350">
        <v>15</v>
      </c>
    </row>
    <row r="351" spans="1:4" x14ac:dyDescent="0.25">
      <c r="A351">
        <f t="shared" si="7"/>
        <v>350</v>
      </c>
      <c r="B351" s="1">
        <v>45617</v>
      </c>
      <c r="C351" s="1" t="s">
        <v>2266</v>
      </c>
      <c r="D351">
        <v>15</v>
      </c>
    </row>
    <row r="352" spans="1:4" x14ac:dyDescent="0.25">
      <c r="A352">
        <f t="shared" si="7"/>
        <v>351</v>
      </c>
      <c r="B352" s="1">
        <v>45618</v>
      </c>
      <c r="C352" s="1" t="s">
        <v>2197</v>
      </c>
      <c r="D352">
        <v>15</v>
      </c>
    </row>
    <row r="353" spans="1:4" x14ac:dyDescent="0.25">
      <c r="A353">
        <f t="shared" si="7"/>
        <v>352</v>
      </c>
      <c r="B353" s="1">
        <v>45618</v>
      </c>
      <c r="C353" s="1" t="s">
        <v>2255</v>
      </c>
      <c r="D353">
        <v>15</v>
      </c>
    </row>
    <row r="354" spans="1:4" x14ac:dyDescent="0.25">
      <c r="A354">
        <f t="shared" si="7"/>
        <v>353</v>
      </c>
      <c r="B354" s="1">
        <v>45618</v>
      </c>
      <c r="C354" s="1" t="s">
        <v>2250</v>
      </c>
      <c r="D354">
        <v>15</v>
      </c>
    </row>
    <row r="355" spans="1:4" x14ac:dyDescent="0.25">
      <c r="A355">
        <f t="shared" si="7"/>
        <v>354</v>
      </c>
      <c r="B355" s="1">
        <v>45618</v>
      </c>
      <c r="C355" s="1" t="s">
        <v>2267</v>
      </c>
      <c r="D355">
        <v>15</v>
      </c>
    </row>
    <row r="356" spans="1:4" x14ac:dyDescent="0.25">
      <c r="A356">
        <f t="shared" si="7"/>
        <v>355</v>
      </c>
      <c r="B356" s="1">
        <v>45620</v>
      </c>
      <c r="C356" s="1" t="s">
        <v>2224</v>
      </c>
      <c r="D356">
        <v>15</v>
      </c>
    </row>
    <row r="357" spans="1:4" x14ac:dyDescent="0.25">
      <c r="A357">
        <f t="shared" si="7"/>
        <v>356</v>
      </c>
      <c r="B357" s="1">
        <v>45622</v>
      </c>
      <c r="C357" s="1" t="s">
        <v>2249</v>
      </c>
      <c r="D357">
        <v>15</v>
      </c>
    </row>
    <row r="358" spans="1:4" x14ac:dyDescent="0.25">
      <c r="A358">
        <f t="shared" si="7"/>
        <v>357</v>
      </c>
      <c r="B358" s="1">
        <v>45622</v>
      </c>
      <c r="C358" s="1" t="s">
        <v>2268</v>
      </c>
      <c r="D358">
        <v>10</v>
      </c>
    </row>
    <row r="359" spans="1:4" x14ac:dyDescent="0.25">
      <c r="A359">
        <f t="shared" si="7"/>
        <v>358</v>
      </c>
      <c r="B359" s="1">
        <v>45622</v>
      </c>
      <c r="C359" s="1" t="s">
        <v>2259</v>
      </c>
      <c r="D359">
        <v>15</v>
      </c>
    </row>
    <row r="360" spans="1:4" x14ac:dyDescent="0.25">
      <c r="A360">
        <f t="shared" si="7"/>
        <v>359</v>
      </c>
      <c r="B360" s="1">
        <v>45624</v>
      </c>
      <c r="C360" s="1" t="s">
        <v>2269</v>
      </c>
      <c r="D360">
        <v>10</v>
      </c>
    </row>
    <row r="361" spans="1:4" x14ac:dyDescent="0.25">
      <c r="A361">
        <f t="shared" si="7"/>
        <v>360</v>
      </c>
      <c r="B361" s="1">
        <v>45624</v>
      </c>
      <c r="C361" s="1" t="s">
        <v>2211</v>
      </c>
      <c r="D361">
        <v>10</v>
      </c>
    </row>
    <row r="362" spans="1:4" x14ac:dyDescent="0.25">
      <c r="A362">
        <f t="shared" si="7"/>
        <v>361</v>
      </c>
      <c r="B362" s="1">
        <v>45625</v>
      </c>
      <c r="C362" s="1" t="s">
        <v>2267</v>
      </c>
      <c r="D362">
        <v>10</v>
      </c>
    </row>
    <row r="363" spans="1:4" x14ac:dyDescent="0.25">
      <c r="A363">
        <f t="shared" si="7"/>
        <v>362</v>
      </c>
      <c r="B363" s="1">
        <v>45625</v>
      </c>
      <c r="C363" s="1" t="s">
        <v>2256</v>
      </c>
      <c r="D363">
        <v>15</v>
      </c>
    </row>
    <row r="364" spans="1:4" x14ac:dyDescent="0.25">
      <c r="A364">
        <f t="shared" si="7"/>
        <v>363</v>
      </c>
      <c r="B364" s="1">
        <v>45625</v>
      </c>
      <c r="C364" s="1" t="s">
        <v>2270</v>
      </c>
      <c r="D364">
        <v>10</v>
      </c>
    </row>
    <row r="365" spans="1:4" x14ac:dyDescent="0.25">
      <c r="A365">
        <f t="shared" si="7"/>
        <v>364</v>
      </c>
      <c r="B365" s="1">
        <v>45625</v>
      </c>
      <c r="C365" s="1" t="s">
        <v>2271</v>
      </c>
      <c r="D365">
        <v>15</v>
      </c>
    </row>
    <row r="366" spans="1:4" x14ac:dyDescent="0.25">
      <c r="A366">
        <f t="shared" si="7"/>
        <v>365</v>
      </c>
      <c r="B366" s="1">
        <v>45625</v>
      </c>
      <c r="C366" s="1" t="s">
        <v>2249</v>
      </c>
      <c r="D366">
        <v>15</v>
      </c>
    </row>
    <row r="367" spans="1:4" x14ac:dyDescent="0.25">
      <c r="A367">
        <f t="shared" si="7"/>
        <v>366</v>
      </c>
      <c r="B367" s="1">
        <v>45625</v>
      </c>
      <c r="C367" s="1" t="s">
        <v>2237</v>
      </c>
      <c r="D367">
        <v>10</v>
      </c>
    </row>
    <row r="368" spans="1:4" x14ac:dyDescent="0.25">
      <c r="A368">
        <f t="shared" si="7"/>
        <v>367</v>
      </c>
      <c r="B368" s="1">
        <v>45629</v>
      </c>
      <c r="C368" s="1" t="s">
        <v>2259</v>
      </c>
      <c r="D368">
        <v>15</v>
      </c>
    </row>
    <row r="369" spans="1:4" x14ac:dyDescent="0.25">
      <c r="A369">
        <f t="shared" si="7"/>
        <v>368</v>
      </c>
      <c r="B369" s="1">
        <v>45629</v>
      </c>
      <c r="C369" s="1" t="s">
        <v>2264</v>
      </c>
      <c r="D369">
        <v>15</v>
      </c>
    </row>
    <row r="370" spans="1:4" x14ac:dyDescent="0.25">
      <c r="A370">
        <f t="shared" si="7"/>
        <v>369</v>
      </c>
      <c r="B370" s="1">
        <v>45630</v>
      </c>
      <c r="C370" s="1" t="s">
        <v>2177</v>
      </c>
      <c r="D370">
        <v>10</v>
      </c>
    </row>
    <row r="371" spans="1:4" x14ac:dyDescent="0.25">
      <c r="A371">
        <f t="shared" si="7"/>
        <v>370</v>
      </c>
      <c r="B371" s="1">
        <v>45630</v>
      </c>
      <c r="C371" s="1" t="s">
        <v>2201</v>
      </c>
      <c r="D371">
        <v>15</v>
      </c>
    </row>
    <row r="372" spans="1:4" x14ac:dyDescent="0.25">
      <c r="A372">
        <f t="shared" si="7"/>
        <v>371</v>
      </c>
      <c r="B372" s="1">
        <v>45632</v>
      </c>
      <c r="C372" s="1" t="s">
        <v>2268</v>
      </c>
      <c r="D372">
        <v>10</v>
      </c>
    </row>
    <row r="373" spans="1:4" x14ac:dyDescent="0.25">
      <c r="A373">
        <f t="shared" si="7"/>
        <v>372</v>
      </c>
      <c r="B373" s="1">
        <v>45632</v>
      </c>
      <c r="C373" s="1" t="s">
        <v>2242</v>
      </c>
      <c r="D373">
        <v>10</v>
      </c>
    </row>
    <row r="374" spans="1:4" x14ac:dyDescent="0.25">
      <c r="A374">
        <f t="shared" si="7"/>
        <v>373</v>
      </c>
      <c r="B374" s="1">
        <v>45632</v>
      </c>
      <c r="C374" s="1" t="s">
        <v>2240</v>
      </c>
      <c r="D374">
        <v>15</v>
      </c>
    </row>
    <row r="375" spans="1:4" x14ac:dyDescent="0.25">
      <c r="A375">
        <f t="shared" si="7"/>
        <v>374</v>
      </c>
      <c r="B375" s="1">
        <v>45632</v>
      </c>
      <c r="C375" s="1" t="s">
        <v>2267</v>
      </c>
      <c r="D375">
        <v>15</v>
      </c>
    </row>
    <row r="376" spans="1:4" x14ac:dyDescent="0.25">
      <c r="A376">
        <f t="shared" si="7"/>
        <v>375</v>
      </c>
      <c r="B376" s="1">
        <v>45632</v>
      </c>
      <c r="C376" s="1" t="s">
        <v>2271</v>
      </c>
      <c r="D376">
        <v>15</v>
      </c>
    </row>
    <row r="377" spans="1:4" x14ac:dyDescent="0.25">
      <c r="A377">
        <f t="shared" si="7"/>
        <v>376</v>
      </c>
      <c r="B377" s="1">
        <v>45632</v>
      </c>
      <c r="C377" s="1" t="s">
        <v>2201</v>
      </c>
      <c r="D377">
        <v>15</v>
      </c>
    </row>
    <row r="378" spans="1:4" x14ac:dyDescent="0.25">
      <c r="A378">
        <f t="shared" si="7"/>
        <v>377</v>
      </c>
      <c r="B378" s="1">
        <v>45632</v>
      </c>
      <c r="C378" s="1" t="s">
        <v>2192</v>
      </c>
      <c r="D378">
        <v>15</v>
      </c>
    </row>
    <row r="379" spans="1:4" x14ac:dyDescent="0.25">
      <c r="A379">
        <f t="shared" si="7"/>
        <v>378</v>
      </c>
      <c r="B379" s="1">
        <v>45632</v>
      </c>
      <c r="C379" s="1" t="s">
        <v>2272</v>
      </c>
      <c r="D379">
        <v>15</v>
      </c>
    </row>
    <row r="380" spans="1:4" x14ac:dyDescent="0.25">
      <c r="A380">
        <f t="shared" si="7"/>
        <v>379</v>
      </c>
      <c r="B380" s="1">
        <v>45632</v>
      </c>
      <c r="C380" s="1" t="s">
        <v>2237</v>
      </c>
      <c r="D380">
        <v>15</v>
      </c>
    </row>
    <row r="381" spans="1:4" x14ac:dyDescent="0.25">
      <c r="A381">
        <f t="shared" si="7"/>
        <v>380</v>
      </c>
      <c r="B381" s="1">
        <v>45634</v>
      </c>
      <c r="C381" s="1" t="s">
        <v>2224</v>
      </c>
      <c r="D381">
        <v>15</v>
      </c>
    </row>
    <row r="382" spans="1:4" x14ac:dyDescent="0.25">
      <c r="A382">
        <f t="shared" si="7"/>
        <v>381</v>
      </c>
      <c r="B382" s="1">
        <v>45634</v>
      </c>
      <c r="C382" s="1" t="s">
        <v>2177</v>
      </c>
      <c r="D382">
        <v>10</v>
      </c>
    </row>
    <row r="383" spans="1:4" x14ac:dyDescent="0.25">
      <c r="A383">
        <f t="shared" si="7"/>
        <v>382</v>
      </c>
      <c r="B383" s="1">
        <v>45635</v>
      </c>
      <c r="C383" s="1" t="s">
        <v>2190</v>
      </c>
      <c r="D383">
        <v>10</v>
      </c>
    </row>
    <row r="384" spans="1:4" x14ac:dyDescent="0.25">
      <c r="A384">
        <f t="shared" si="7"/>
        <v>383</v>
      </c>
      <c r="B384" s="1">
        <v>45635</v>
      </c>
      <c r="C384" s="1" t="s">
        <v>2249</v>
      </c>
      <c r="D384">
        <v>15</v>
      </c>
    </row>
    <row r="385" spans="1:4" x14ac:dyDescent="0.25">
      <c r="A385">
        <f t="shared" si="7"/>
        <v>384</v>
      </c>
      <c r="B385" s="1">
        <v>45635</v>
      </c>
      <c r="C385" s="1" t="s">
        <v>2252</v>
      </c>
      <c r="D385">
        <v>10</v>
      </c>
    </row>
    <row r="386" spans="1:4" x14ac:dyDescent="0.25">
      <c r="A386">
        <f t="shared" si="7"/>
        <v>385</v>
      </c>
      <c r="B386" s="1">
        <v>45636</v>
      </c>
      <c r="C386" s="1" t="s">
        <v>2211</v>
      </c>
      <c r="D386">
        <v>15</v>
      </c>
    </row>
    <row r="387" spans="1:4" x14ac:dyDescent="0.25">
      <c r="A387">
        <f t="shared" si="7"/>
        <v>386</v>
      </c>
      <c r="B387" s="1">
        <v>45636</v>
      </c>
      <c r="C387" s="1" t="s">
        <v>2266</v>
      </c>
      <c r="D387">
        <v>15</v>
      </c>
    </row>
    <row r="388" spans="1:4" x14ac:dyDescent="0.25">
      <c r="A388">
        <f t="shared" si="7"/>
        <v>387</v>
      </c>
      <c r="B388" s="1">
        <v>45638</v>
      </c>
      <c r="C388" s="1" t="s">
        <v>2215</v>
      </c>
      <c r="D388">
        <v>10</v>
      </c>
    </row>
    <row r="389" spans="1:4" x14ac:dyDescent="0.25">
      <c r="A389">
        <f t="shared" si="7"/>
        <v>388</v>
      </c>
      <c r="B389" s="1">
        <v>45638</v>
      </c>
      <c r="C389" s="1" t="s">
        <v>2203</v>
      </c>
      <c r="D389">
        <v>10</v>
      </c>
    </row>
    <row r="390" spans="1:4" x14ac:dyDescent="0.25">
      <c r="A390">
        <f t="shared" si="7"/>
        <v>389</v>
      </c>
      <c r="B390" s="1">
        <v>45639</v>
      </c>
      <c r="C390" s="1" t="s">
        <v>2250</v>
      </c>
      <c r="D390">
        <v>15</v>
      </c>
    </row>
    <row r="391" spans="1:4" x14ac:dyDescent="0.25">
      <c r="A391">
        <f t="shared" si="7"/>
        <v>390</v>
      </c>
      <c r="B391" s="1">
        <v>45639</v>
      </c>
      <c r="C391" s="1" t="s">
        <v>2240</v>
      </c>
      <c r="D391">
        <v>15</v>
      </c>
    </row>
    <row r="392" spans="1:4" x14ac:dyDescent="0.25">
      <c r="A392">
        <f t="shared" si="7"/>
        <v>391</v>
      </c>
      <c r="B392" s="1">
        <v>45639</v>
      </c>
      <c r="C392" s="1" t="s">
        <v>2255</v>
      </c>
      <c r="D392">
        <v>15</v>
      </c>
    </row>
    <row r="393" spans="1:4" x14ac:dyDescent="0.25">
      <c r="A393">
        <f t="shared" si="7"/>
        <v>392</v>
      </c>
      <c r="B393" s="1">
        <v>45639</v>
      </c>
      <c r="C393" s="1" t="s">
        <v>2237</v>
      </c>
      <c r="D393">
        <v>15</v>
      </c>
    </row>
    <row r="394" spans="1:4" x14ac:dyDescent="0.25">
      <c r="A394">
        <f t="shared" si="7"/>
        <v>393</v>
      </c>
      <c r="B394" s="1">
        <v>45641</v>
      </c>
      <c r="C394" s="1" t="s">
        <v>2226</v>
      </c>
      <c r="D394">
        <v>15</v>
      </c>
    </row>
    <row r="395" spans="1:4" x14ac:dyDescent="0.25">
      <c r="A395">
        <f t="shared" si="7"/>
        <v>394</v>
      </c>
      <c r="B395" s="1">
        <v>45641</v>
      </c>
      <c r="C395" s="1" t="s">
        <v>2201</v>
      </c>
      <c r="D395">
        <v>15</v>
      </c>
    </row>
    <row r="396" spans="1:4" x14ac:dyDescent="0.25">
      <c r="A396">
        <f t="shared" ref="A396:A433" si="8">A395+1</f>
        <v>395</v>
      </c>
      <c r="B396" s="1">
        <v>45642</v>
      </c>
      <c r="C396" s="1" t="s">
        <v>2177</v>
      </c>
      <c r="D396">
        <v>10</v>
      </c>
    </row>
    <row r="397" spans="1:4" x14ac:dyDescent="0.25">
      <c r="A397">
        <f t="shared" si="8"/>
        <v>396</v>
      </c>
      <c r="B397" s="1">
        <v>45642</v>
      </c>
      <c r="C397" s="1" t="s">
        <v>2259</v>
      </c>
      <c r="D397">
        <v>15</v>
      </c>
    </row>
    <row r="398" spans="1:4" x14ac:dyDescent="0.25">
      <c r="A398">
        <f t="shared" si="8"/>
        <v>397</v>
      </c>
      <c r="B398" s="1">
        <v>45644</v>
      </c>
      <c r="C398" s="1" t="s">
        <v>2249</v>
      </c>
      <c r="D398">
        <v>15</v>
      </c>
    </row>
    <row r="399" spans="1:4" x14ac:dyDescent="0.25">
      <c r="A399">
        <f t="shared" si="8"/>
        <v>398</v>
      </c>
      <c r="B399" s="1">
        <v>45645</v>
      </c>
      <c r="C399" s="1" t="s">
        <v>2271</v>
      </c>
      <c r="D399">
        <v>15</v>
      </c>
    </row>
    <row r="400" spans="1:4" x14ac:dyDescent="0.25">
      <c r="A400">
        <f t="shared" si="8"/>
        <v>399</v>
      </c>
      <c r="B400" s="1">
        <v>45646</v>
      </c>
      <c r="C400" s="1" t="s">
        <v>2240</v>
      </c>
      <c r="D400">
        <v>20</v>
      </c>
    </row>
    <row r="401" spans="1:4" x14ac:dyDescent="0.25">
      <c r="A401">
        <f t="shared" si="8"/>
        <v>400</v>
      </c>
      <c r="B401" s="1">
        <v>45646</v>
      </c>
      <c r="C401" s="1" t="s">
        <v>2255</v>
      </c>
      <c r="D401">
        <v>15</v>
      </c>
    </row>
    <row r="402" spans="1:4" x14ac:dyDescent="0.25">
      <c r="A402">
        <f t="shared" si="8"/>
        <v>401</v>
      </c>
      <c r="B402" s="1">
        <v>45646</v>
      </c>
      <c r="C402" s="1" t="s">
        <v>2273</v>
      </c>
      <c r="D402">
        <v>10</v>
      </c>
    </row>
    <row r="403" spans="1:4" x14ac:dyDescent="0.25">
      <c r="A403">
        <f t="shared" si="8"/>
        <v>402</v>
      </c>
      <c r="B403" s="1">
        <v>45646</v>
      </c>
      <c r="C403" s="1" t="s">
        <v>2177</v>
      </c>
      <c r="D403">
        <v>10</v>
      </c>
    </row>
    <row r="404" spans="1:4" x14ac:dyDescent="0.25">
      <c r="A404">
        <f t="shared" si="8"/>
        <v>403</v>
      </c>
      <c r="B404" s="1">
        <v>45649</v>
      </c>
      <c r="C404" s="1" t="s">
        <v>2190</v>
      </c>
      <c r="D404">
        <v>15</v>
      </c>
    </row>
    <row r="405" spans="1:4" x14ac:dyDescent="0.25">
      <c r="A405">
        <f t="shared" si="8"/>
        <v>404</v>
      </c>
      <c r="B405" s="1">
        <v>45649</v>
      </c>
      <c r="C405" s="1" t="s">
        <v>2274</v>
      </c>
      <c r="D405">
        <v>10</v>
      </c>
    </row>
    <row r="406" spans="1:4" x14ac:dyDescent="0.25">
      <c r="A406">
        <f t="shared" si="8"/>
        <v>405</v>
      </c>
      <c r="B406" s="1">
        <v>45649</v>
      </c>
      <c r="C406" s="1" t="s">
        <v>2275</v>
      </c>
      <c r="D406">
        <v>15</v>
      </c>
    </row>
    <row r="407" spans="1:4" x14ac:dyDescent="0.25">
      <c r="A407">
        <f t="shared" si="8"/>
        <v>406</v>
      </c>
      <c r="B407" s="1">
        <v>45649</v>
      </c>
      <c r="C407" s="1" t="s">
        <v>2276</v>
      </c>
      <c r="D407">
        <v>15</v>
      </c>
    </row>
    <row r="408" spans="1:4" x14ac:dyDescent="0.25">
      <c r="A408">
        <f t="shared" si="8"/>
        <v>407</v>
      </c>
      <c r="B408" s="1">
        <v>45650</v>
      </c>
      <c r="C408" s="1" t="s">
        <v>2249</v>
      </c>
      <c r="D408">
        <v>15</v>
      </c>
    </row>
    <row r="409" spans="1:4" x14ac:dyDescent="0.25">
      <c r="A409">
        <f t="shared" si="8"/>
        <v>408</v>
      </c>
      <c r="B409" s="1">
        <v>45650</v>
      </c>
      <c r="C409" s="1" t="s">
        <v>2224</v>
      </c>
      <c r="D409">
        <v>15</v>
      </c>
    </row>
    <row r="410" spans="1:4" x14ac:dyDescent="0.25">
      <c r="A410">
        <f t="shared" si="8"/>
        <v>409</v>
      </c>
      <c r="B410" s="1">
        <v>45650</v>
      </c>
      <c r="C410" s="1" t="s">
        <v>2179</v>
      </c>
      <c r="D410">
        <v>15</v>
      </c>
    </row>
    <row r="411" spans="1:4" x14ac:dyDescent="0.25">
      <c r="A411">
        <f t="shared" si="8"/>
        <v>410</v>
      </c>
      <c r="B411" s="1">
        <v>45652</v>
      </c>
      <c r="C411" s="1" t="s">
        <v>2267</v>
      </c>
      <c r="D411">
        <v>15</v>
      </c>
    </row>
    <row r="412" spans="1:4" x14ac:dyDescent="0.25">
      <c r="A412">
        <f t="shared" si="8"/>
        <v>411</v>
      </c>
      <c r="B412" s="1">
        <v>45653</v>
      </c>
      <c r="C412" s="1" t="s">
        <v>2204</v>
      </c>
      <c r="D412">
        <v>10</v>
      </c>
    </row>
    <row r="413" spans="1:4" x14ac:dyDescent="0.25">
      <c r="A413">
        <f t="shared" si="8"/>
        <v>412</v>
      </c>
      <c r="B413" s="1">
        <v>45653</v>
      </c>
      <c r="C413" s="1" t="s">
        <v>2255</v>
      </c>
      <c r="D413">
        <v>15</v>
      </c>
    </row>
    <row r="414" spans="1:4" x14ac:dyDescent="0.25">
      <c r="A414">
        <f t="shared" si="8"/>
        <v>413</v>
      </c>
      <c r="B414" s="1">
        <v>45653</v>
      </c>
      <c r="C414" s="1" t="s">
        <v>2243</v>
      </c>
      <c r="D414">
        <v>15</v>
      </c>
    </row>
    <row r="415" spans="1:4" x14ac:dyDescent="0.25">
      <c r="A415">
        <f t="shared" si="8"/>
        <v>414</v>
      </c>
      <c r="B415" s="1">
        <v>46019</v>
      </c>
      <c r="C415" s="1" t="s">
        <v>2186</v>
      </c>
      <c r="D415">
        <v>15</v>
      </c>
    </row>
    <row r="416" spans="1:4" x14ac:dyDescent="0.25">
      <c r="A416">
        <f t="shared" si="8"/>
        <v>415</v>
      </c>
      <c r="B416" s="1">
        <v>45656</v>
      </c>
      <c r="C416" s="1" t="s">
        <v>2277</v>
      </c>
      <c r="D416">
        <v>15</v>
      </c>
    </row>
    <row r="417" spans="1:4" x14ac:dyDescent="0.25">
      <c r="A417">
        <f t="shared" si="8"/>
        <v>416</v>
      </c>
      <c r="B417" s="1">
        <v>45656</v>
      </c>
      <c r="C417" s="1" t="s">
        <v>2187</v>
      </c>
      <c r="D417">
        <v>15</v>
      </c>
    </row>
    <row r="418" spans="1:4" x14ac:dyDescent="0.25">
      <c r="A418">
        <f t="shared" si="8"/>
        <v>417</v>
      </c>
      <c r="B418" s="1">
        <v>45656</v>
      </c>
      <c r="C418" s="1" t="s">
        <v>2274</v>
      </c>
      <c r="D418">
        <v>15</v>
      </c>
    </row>
    <row r="419" spans="1:4" x14ac:dyDescent="0.25">
      <c r="A419">
        <f t="shared" si="8"/>
        <v>418</v>
      </c>
      <c r="B419" s="1">
        <v>45661</v>
      </c>
      <c r="C419" s="1" t="s">
        <v>2201</v>
      </c>
      <c r="D419">
        <v>15</v>
      </c>
    </row>
    <row r="420" spans="1:4" x14ac:dyDescent="0.25">
      <c r="A420">
        <f t="shared" si="8"/>
        <v>419</v>
      </c>
      <c r="B420" s="1">
        <v>45661</v>
      </c>
      <c r="C420" s="1" t="s">
        <v>2177</v>
      </c>
      <c r="D420">
        <v>10</v>
      </c>
    </row>
    <row r="421" spans="1:4" x14ac:dyDescent="0.25">
      <c r="A421">
        <f t="shared" si="8"/>
        <v>420</v>
      </c>
      <c r="B421" s="1">
        <v>45665</v>
      </c>
      <c r="C421" s="1" t="s">
        <v>2224</v>
      </c>
      <c r="D421">
        <v>15</v>
      </c>
    </row>
    <row r="422" spans="1:4" x14ac:dyDescent="0.25">
      <c r="A422">
        <f t="shared" si="8"/>
        <v>421</v>
      </c>
      <c r="B422" s="1">
        <v>45666</v>
      </c>
      <c r="C422" s="1" t="s">
        <v>2263</v>
      </c>
      <c r="D422">
        <v>15</v>
      </c>
    </row>
    <row r="423" spans="1:4" x14ac:dyDescent="0.25">
      <c r="A423">
        <f t="shared" si="8"/>
        <v>422</v>
      </c>
      <c r="B423" s="1">
        <v>45667</v>
      </c>
      <c r="C423" s="1" t="s">
        <v>2264</v>
      </c>
      <c r="D423">
        <v>15</v>
      </c>
    </row>
    <row r="424" spans="1:4" x14ac:dyDescent="0.25">
      <c r="A424">
        <f t="shared" si="8"/>
        <v>423</v>
      </c>
      <c r="B424" s="1">
        <v>45667</v>
      </c>
      <c r="C424" s="1" t="s">
        <v>2278</v>
      </c>
      <c r="D424">
        <v>15</v>
      </c>
    </row>
    <row r="425" spans="1:4" x14ac:dyDescent="0.25">
      <c r="A425">
        <f t="shared" si="8"/>
        <v>424</v>
      </c>
      <c r="B425" s="1">
        <v>45667</v>
      </c>
      <c r="C425" s="1" t="s">
        <v>2242</v>
      </c>
      <c r="D425">
        <v>15</v>
      </c>
    </row>
    <row r="426" spans="1:4" x14ac:dyDescent="0.25">
      <c r="A426">
        <f t="shared" si="8"/>
        <v>425</v>
      </c>
      <c r="B426" s="1">
        <v>45667</v>
      </c>
      <c r="C426" s="1" t="s">
        <v>2240</v>
      </c>
      <c r="D426">
        <v>15</v>
      </c>
    </row>
    <row r="427" spans="1:4" x14ac:dyDescent="0.25">
      <c r="A427">
        <f t="shared" si="8"/>
        <v>426</v>
      </c>
      <c r="B427" s="1">
        <v>45667</v>
      </c>
      <c r="C427" s="1" t="s">
        <v>2187</v>
      </c>
      <c r="D427">
        <v>15</v>
      </c>
    </row>
    <row r="428" spans="1:4" x14ac:dyDescent="0.25">
      <c r="A428">
        <f t="shared" si="8"/>
        <v>427</v>
      </c>
      <c r="B428" s="1">
        <v>45667</v>
      </c>
      <c r="C428" s="1" t="s">
        <v>2279</v>
      </c>
      <c r="D428">
        <v>10</v>
      </c>
    </row>
    <row r="429" spans="1:4" x14ac:dyDescent="0.25">
      <c r="A429">
        <f t="shared" si="8"/>
        <v>428</v>
      </c>
      <c r="B429" s="1">
        <v>45667</v>
      </c>
      <c r="C429" s="1" t="s">
        <v>2237</v>
      </c>
      <c r="D429">
        <v>15</v>
      </c>
    </row>
    <row r="430" spans="1:4" x14ac:dyDescent="0.25">
      <c r="A430">
        <f t="shared" si="8"/>
        <v>429</v>
      </c>
      <c r="B430" s="1">
        <v>45668</v>
      </c>
      <c r="C430" s="1" t="s">
        <v>2177</v>
      </c>
      <c r="D430">
        <v>10</v>
      </c>
    </row>
    <row r="431" spans="1:4" x14ac:dyDescent="0.25">
      <c r="A431">
        <f t="shared" si="8"/>
        <v>430</v>
      </c>
      <c r="B431" s="1">
        <v>45669</v>
      </c>
      <c r="C431" s="1" t="s">
        <v>2280</v>
      </c>
      <c r="D431">
        <v>15</v>
      </c>
    </row>
    <row r="432" spans="1:4" x14ac:dyDescent="0.25">
      <c r="A432">
        <f t="shared" si="8"/>
        <v>431</v>
      </c>
      <c r="B432" s="1">
        <v>45671</v>
      </c>
      <c r="C432" s="1" t="s">
        <v>2201</v>
      </c>
      <c r="D432">
        <v>15</v>
      </c>
    </row>
    <row r="433" spans="1:4" x14ac:dyDescent="0.25">
      <c r="A433">
        <f t="shared" si="8"/>
        <v>432</v>
      </c>
      <c r="B433" s="1">
        <v>45671</v>
      </c>
      <c r="C433" s="1" t="s">
        <v>2252</v>
      </c>
      <c r="D433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E1BB-BD28-4AD3-A081-E1E8F0B473B0}">
  <sheetPr codeName="Лист5"/>
  <dimension ref="A1:AA1660"/>
  <sheetViews>
    <sheetView zoomScale="85" zoomScaleNormal="85" workbookViewId="0">
      <pane ySplit="7" topLeftCell="A1615" activePane="bottomLeft" state="frozen"/>
      <selection activeCell="B1" sqref="B1"/>
      <selection pane="bottomLeft" activeCell="U1632" sqref="U1632"/>
    </sheetView>
  </sheetViews>
  <sheetFormatPr defaultRowHeight="15" outlineLevelCol="1" x14ac:dyDescent="0.25"/>
  <cols>
    <col min="1" max="1" width="11.5703125" style="10" customWidth="1"/>
    <col min="2" max="3" width="11.28515625" customWidth="1"/>
    <col min="4" max="4" width="24.28515625" customWidth="1"/>
    <col min="5" max="5" width="13.28515625" customWidth="1"/>
    <col min="6" max="6" width="31" style="10" customWidth="1"/>
    <col min="7" max="7" width="9.140625" style="40" hidden="1" customWidth="1" outlineLevel="1"/>
    <col min="8" max="8" width="14.7109375" style="12" hidden="1" customWidth="1" outlineLevel="1"/>
    <col min="9" max="9" width="11.7109375" style="10" bestFit="1" customWidth="1" collapsed="1"/>
    <col min="10" max="10" width="5.140625" style="10" customWidth="1"/>
    <col min="11" max="11" width="7.85546875" style="10" hidden="1" customWidth="1" outlineLevel="1"/>
    <col min="12" max="12" width="8" hidden="1" customWidth="1" outlineLevel="1"/>
    <col min="13" max="13" width="7.42578125" style="10" hidden="1" customWidth="1" outlineLevel="1"/>
    <col min="14" max="14" width="9.42578125" customWidth="1" collapsed="1"/>
    <col min="15" max="15" width="9.42578125" style="10" hidden="1" customWidth="1" outlineLevel="1"/>
    <col min="16" max="16" width="6.5703125" customWidth="1" collapsed="1"/>
    <col min="17" max="17" width="7.5703125" customWidth="1"/>
    <col min="18" max="18" width="8.85546875" style="41" customWidth="1"/>
    <col min="19" max="19" width="7.42578125" style="10" customWidth="1"/>
    <col min="20" max="20" width="23.28515625" style="10" bestFit="1" customWidth="1"/>
    <col min="21" max="21" width="13.5703125" style="40" customWidth="1"/>
    <col min="22" max="22" width="8.5703125" style="40" customWidth="1"/>
    <col min="24" max="24" width="13" style="40" customWidth="1"/>
    <col min="25" max="25" width="14.7109375" style="3" customWidth="1"/>
    <col min="27" max="27" width="12.28515625" bestFit="1" customWidth="1"/>
  </cols>
  <sheetData>
    <row r="1" spans="1:25" x14ac:dyDescent="0.25">
      <c r="M1" s="34" t="s">
        <v>519</v>
      </c>
      <c r="N1" s="6">
        <f>SUM(ТабПозиции[orderSumm])</f>
        <v>3057980</v>
      </c>
      <c r="Q1" t="s">
        <v>520</v>
      </c>
      <c r="R1" s="39">
        <f>SUBTOTAL(9,ТабПозиции[orderSumm])</f>
        <v>45359</v>
      </c>
      <c r="S1" s="52">
        <f>R2/R1</f>
        <v>0.21316607508983884</v>
      </c>
      <c r="W1" s="40"/>
      <c r="X1"/>
      <c r="Y1"/>
    </row>
    <row r="2" spans="1:25" x14ac:dyDescent="0.25">
      <c r="M2" s="34" t="s">
        <v>521</v>
      </c>
      <c r="N2" s="6">
        <f>SUM(ТабПозиции[deliverySumm])</f>
        <v>370991</v>
      </c>
      <c r="Q2" t="s">
        <v>522</v>
      </c>
      <c r="R2" s="39">
        <f>SUBTOTAL(9,ТабПозиции[deliverySumm])+SUBTOTAL(9,ТабПозиции[deliveryPost])</f>
        <v>9669</v>
      </c>
      <c r="W2" s="40"/>
      <c r="X2"/>
      <c r="Y2"/>
    </row>
    <row r="3" spans="1:25" x14ac:dyDescent="0.25">
      <c r="M3" s="34" t="s">
        <v>523</v>
      </c>
      <c r="N3" s="6">
        <f>SUM(ТабПозиции[totalSumm])</f>
        <v>1862126.25</v>
      </c>
      <c r="Q3" s="53" t="str">
        <f>"**К оплате: "&amp;$R$1+$R$2&amp;"**"</f>
        <v>**К оплате: 55028**</v>
      </c>
      <c r="R3" s="39"/>
      <c r="T3" s="41"/>
      <c r="W3" s="40"/>
      <c r="X3"/>
      <c r="Y3"/>
    </row>
    <row r="4" spans="1:25" x14ac:dyDescent="0.25">
      <c r="M4" s="34" t="s">
        <v>524</v>
      </c>
      <c r="N4" s="6">
        <f>SUM(ТабПозиции[payment])</f>
        <v>1855542.25</v>
      </c>
      <c r="Q4" s="5" t="s">
        <v>525</v>
      </c>
      <c r="R4" s="42"/>
      <c r="S4" s="43"/>
      <c r="W4" s="40"/>
      <c r="X4"/>
      <c r="Y4"/>
    </row>
    <row r="5" spans="1:25" x14ac:dyDescent="0.25">
      <c r="M5" s="34" t="s">
        <v>526</v>
      </c>
      <c r="N5" s="6">
        <f>N3-N4</f>
        <v>6584</v>
      </c>
      <c r="Q5" s="5" t="s">
        <v>1598</v>
      </c>
      <c r="R5" s="42"/>
      <c r="S5" s="43"/>
      <c r="W5" s="40"/>
      <c r="X5"/>
      <c r="Y5"/>
    </row>
    <row r="6" spans="1:25" x14ac:dyDescent="0.25">
      <c r="M6" s="34" t="s">
        <v>527</v>
      </c>
      <c r="N6" s="6">
        <f>SUMIF(ТабПозиции[Выдан Клиенту],"Нет",ТабПозиции[totalSumm])</f>
        <v>55028</v>
      </c>
      <c r="Q6" s="5"/>
      <c r="R6" s="42"/>
      <c r="S6" s="43"/>
      <c r="W6" s="40"/>
      <c r="X6"/>
      <c r="Y6"/>
    </row>
    <row r="7" spans="1:25" s="3" customFormat="1" x14ac:dyDescent="0.25">
      <c r="A7" s="11" t="s">
        <v>512</v>
      </c>
      <c r="B7" s="4" t="s">
        <v>513</v>
      </c>
      <c r="C7" s="4" t="s">
        <v>1673</v>
      </c>
      <c r="D7" s="3" t="s">
        <v>514</v>
      </c>
      <c r="E7" s="3" t="s">
        <v>1</v>
      </c>
      <c r="F7" s="13" t="s">
        <v>528</v>
      </c>
      <c r="G7" s="45" t="s">
        <v>541</v>
      </c>
      <c r="H7" s="14" t="s">
        <v>529</v>
      </c>
      <c r="I7" s="15" t="s">
        <v>530</v>
      </c>
      <c r="J7" s="13" t="s">
        <v>531</v>
      </c>
      <c r="K7" s="13" t="s">
        <v>532</v>
      </c>
      <c r="L7" s="3" t="s">
        <v>533</v>
      </c>
      <c r="M7" s="13" t="s">
        <v>534</v>
      </c>
      <c r="N7" s="3" t="s">
        <v>515</v>
      </c>
      <c r="O7" s="13" t="s">
        <v>535</v>
      </c>
      <c r="P7" s="3" t="s">
        <v>516</v>
      </c>
      <c r="Q7" s="3" t="s">
        <v>517</v>
      </c>
      <c r="R7" s="44" t="s">
        <v>536</v>
      </c>
      <c r="S7" s="13" t="s">
        <v>537</v>
      </c>
      <c r="T7" s="13" t="s">
        <v>538</v>
      </c>
      <c r="U7" s="45" t="s">
        <v>539</v>
      </c>
      <c r="V7" s="45" t="s">
        <v>540</v>
      </c>
      <c r="W7" s="40" t="s">
        <v>542</v>
      </c>
    </row>
    <row r="8" spans="1:25" hidden="1" x14ac:dyDescent="0.25">
      <c r="A8" s="10">
        <v>1</v>
      </c>
      <c r="B8" s="1">
        <f>IFERROR(VLOOKUP(ТабПозиции[[#This Row],[orderNum]],ТабЗаказы[#Data],MATCH(B$7,ТабЗаказы[#Headers],0),0),"")</f>
        <v>45361</v>
      </c>
      <c r="C8" t="str">
        <f>MONTH(ТабПозиции[[#This Row],[date]])&amp;"/"&amp;YEAR(ТабПозиции[[#This Row],[date]])</f>
        <v>3/2024</v>
      </c>
      <c r="D8" s="1" t="str">
        <f>IFERROR(VLOOKUP(ТабПозиции[[#This Row],[orderNum]],ТабЗаказы[#Data],MATCH(D$7,ТабЗаказы[#Headers],0),0),"")</f>
        <v/>
      </c>
      <c r="E8" s="1" t="str">
        <f>IFERROR(VLOOKUP(ТабПозиции[[#This Row],[orderNum]],ТабЗаказы[#Data],MATCH(E$7,ТабЗаказы[#Headers],0),0),"")</f>
        <v/>
      </c>
      <c r="F8" s="16" t="s">
        <v>543</v>
      </c>
      <c r="G8" s="40" t="s">
        <v>545</v>
      </c>
      <c r="H8" s="17"/>
      <c r="I8" s="18">
        <v>45363</v>
      </c>
      <c r="J8" s="10">
        <v>1</v>
      </c>
      <c r="L8">
        <v>0</v>
      </c>
      <c r="M8" s="10">
        <v>1229</v>
      </c>
      <c r="N8">
        <f>M8*J8</f>
        <v>1229</v>
      </c>
      <c r="P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Row],[orderNum]],ТабПозиции[orderSumm])&gt;1500),ABS(N8*VLOOKUP(ТабПозиции[[#This Row],[orderNum]],ТабЗаказы[#Data],MATCH("Percent",ТабЗаказы[#Headers],0),0))/100,200/COUNTIF(ТабПозиции[orderNum],ТабПозиции[[#This Row],[orderNum]])),0),"")</f>
        <v>184</v>
      </c>
      <c r="Q8">
        <f>IF(OR(ТабПозиции[[#This Row],[item]]="По штрихкоду",ТабПозиции[[#This Row],[item]]="Посылка"),ТабПозиции[[#This Row],[deliverySumm]]+ТабПозиции[[#This Row],[deliveryPost]],SUM(N8:P8))</f>
        <v>1413</v>
      </c>
      <c r="R8" s="41">
        <v>1413</v>
      </c>
      <c r="S8" s="46">
        <f>ТабПозиции[[#This Row],[totalSumm]]-ТабПозиции[[#This Row],[payment]]</f>
        <v>0</v>
      </c>
      <c r="T8" s="10" t="s">
        <v>544</v>
      </c>
      <c r="U8" s="40" t="s">
        <v>545</v>
      </c>
      <c r="V8" s="40" t="s">
        <v>545</v>
      </c>
      <c r="W8" s="40" t="s">
        <v>545</v>
      </c>
      <c r="X8"/>
      <c r="Y8"/>
    </row>
    <row r="9" spans="1:25" hidden="1" x14ac:dyDescent="0.25">
      <c r="A9" s="10">
        <v>1</v>
      </c>
      <c r="B9" s="1">
        <f>IFERROR(VLOOKUP(ТабПозиции[[#This Row],[orderNum]],ТабЗаказы[#Data],MATCH(B$7,ТабЗаказы[#Headers],0),0),"")</f>
        <v>45361</v>
      </c>
      <c r="C9" t="str">
        <f>MONTH(ТабПозиции[[#This Row],[date]])&amp;"/"&amp;YEAR(ТабПозиции[[#This Row],[date]])</f>
        <v>3/2024</v>
      </c>
      <c r="D9" s="1" t="str">
        <f>IFERROR(VLOOKUP(ТабПозиции[[#This Row],[orderNum]],ТабЗаказы[#Data],MATCH(D$7,ТабЗаказы[#Headers],0),0),"")</f>
        <v/>
      </c>
      <c r="E9" s="1" t="str">
        <f>IFERROR(VLOOKUP(ТабПозиции[[#This Row],[orderNum]],ТабЗаказы[#Data],MATCH(E$7,ТабЗаказы[#Headers],0),0),"")</f>
        <v/>
      </c>
      <c r="F9" s="16" t="s">
        <v>546</v>
      </c>
      <c r="G9" s="40" t="s">
        <v>545</v>
      </c>
      <c r="H9" s="17" t="s">
        <v>547</v>
      </c>
      <c r="I9" s="18">
        <v>45390</v>
      </c>
      <c r="J9" s="10">
        <v>1</v>
      </c>
      <c r="L9">
        <v>0</v>
      </c>
      <c r="M9" s="10">
        <v>1235</v>
      </c>
      <c r="N9">
        <f>M9*J9</f>
        <v>1235</v>
      </c>
      <c r="P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Row],[orderNum]],ТабПозиции[orderSumm])&gt;1500),ABS(N9*VLOOKUP(ТабПозиции[[#This Row],[orderNum]],ТабЗаказы[#Data],MATCH("Percent",ТабЗаказы[#Headers],0),0))/100,200/COUNTIF(ТабПозиции[orderNum],ТабПозиции[[#This Row],[orderNum]])),0),"")</f>
        <v>185</v>
      </c>
      <c r="Q9">
        <f>IF(OR(ТабПозиции[[#This Row],[item]]="По штрихкоду",ТабПозиции[[#This Row],[item]]="Посылка"),ТабПозиции[[#This Row],[deliverySumm]]+ТабПозиции[[#This Row],[deliveryPost]],SUM(N9:P9))</f>
        <v>1420</v>
      </c>
      <c r="R9" s="41">
        <v>1420</v>
      </c>
      <c r="S9" s="46">
        <f>ТабПозиции[[#This Row],[totalSumm]]-ТабПозиции[[#This Row],[payment]]</f>
        <v>0</v>
      </c>
      <c r="T9" s="10" t="s">
        <v>548</v>
      </c>
      <c r="U9" s="40" t="s">
        <v>545</v>
      </c>
      <c r="V9" s="40" t="s">
        <v>545</v>
      </c>
      <c r="W9" s="40" t="s">
        <v>545</v>
      </c>
      <c r="X9"/>
      <c r="Y9"/>
    </row>
    <row r="10" spans="1:25" hidden="1" x14ac:dyDescent="0.25">
      <c r="A10" s="10">
        <v>1</v>
      </c>
      <c r="B10" s="1">
        <f>IFERROR(VLOOKUP(ТабПозиции[[#This Row],[orderNum]],ТабЗаказы[#Data],MATCH(B$7,ТабЗаказы[#Headers],0),0),"")</f>
        <v>45361</v>
      </c>
      <c r="C10" t="str">
        <f>MONTH(ТабПозиции[[#This Row],[date]])&amp;"/"&amp;YEAR(ТабПозиции[[#This Row],[date]])</f>
        <v>3/2024</v>
      </c>
      <c r="D10" s="1" t="str">
        <f>IFERROR(VLOOKUP(ТабПозиции[[#This Row],[orderNum]],ТабЗаказы[#Data],MATCH(D$7,ТабЗаказы[#Headers],0),0),"")</f>
        <v/>
      </c>
      <c r="E10" s="1" t="str">
        <f>IFERROR(VLOOKUP(ТабПозиции[[#This Row],[orderNum]],ТабЗаказы[#Data],MATCH(E$7,ТабЗаказы[#Headers],0),0),"")</f>
        <v/>
      </c>
      <c r="F10" s="16" t="s">
        <v>549</v>
      </c>
      <c r="G10" s="40" t="s">
        <v>545</v>
      </c>
      <c r="H10" s="17"/>
      <c r="I10" s="18">
        <v>45363</v>
      </c>
      <c r="J10" s="10">
        <v>1</v>
      </c>
      <c r="L10">
        <v>0</v>
      </c>
      <c r="M10" s="10">
        <v>434</v>
      </c>
      <c r="N10">
        <f>M10*J10</f>
        <v>434</v>
      </c>
      <c r="P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Row],[orderNum]],ТабПозиции[orderSumm])&gt;1500),ABS(N10*VLOOKUP(ТабПозиции[[#This Row],[orderNum]],ТабЗаказы[#Data],MATCH("Percent",ТабЗаказы[#Headers],0),0))/100,200/COUNTIF(ТабПозиции[orderNum],ТабПозиции[[#This Row],[orderNum]])),0),"")</f>
        <v>65</v>
      </c>
      <c r="Q10">
        <f>IF(OR(ТабПозиции[[#This Row],[item]]="По штрихкоду",ТабПозиции[[#This Row],[item]]="Посылка"),ТабПозиции[[#This Row],[deliverySumm]]+ТабПозиции[[#This Row],[deliveryPost]],SUM(N10:P10))</f>
        <v>499</v>
      </c>
      <c r="R10" s="41">
        <v>499</v>
      </c>
      <c r="S10" s="46">
        <f>ТабПозиции[[#This Row],[totalSumm]]-ТабПозиции[[#This Row],[payment]]</f>
        <v>0</v>
      </c>
      <c r="T10" s="10" t="s">
        <v>544</v>
      </c>
      <c r="U10" s="40" t="s">
        <v>545</v>
      </c>
      <c r="V10" s="40" t="s">
        <v>545</v>
      </c>
      <c r="W10" s="40" t="s">
        <v>545</v>
      </c>
      <c r="X10"/>
      <c r="Y10"/>
    </row>
    <row r="11" spans="1:25" hidden="1" x14ac:dyDescent="0.25">
      <c r="A11" s="10">
        <v>1</v>
      </c>
      <c r="B11" s="1">
        <f>IFERROR(VLOOKUP(ТабПозиции[[#This Row],[orderNum]],ТабЗаказы[#Data],MATCH(B$7,ТабЗаказы[#Headers],0),0),"")</f>
        <v>45361</v>
      </c>
      <c r="C11" t="str">
        <f>MONTH(ТабПозиции[[#This Row],[date]])&amp;"/"&amp;YEAR(ТабПозиции[[#This Row],[date]])</f>
        <v>3/2024</v>
      </c>
      <c r="D11" s="1" t="str">
        <f>IFERROR(VLOOKUP(ТабПозиции[[#This Row],[orderNum]],ТабЗаказы[#Data],MATCH(D$7,ТабЗаказы[#Headers],0),0),"")</f>
        <v/>
      </c>
      <c r="E11" s="1" t="str">
        <f>IFERROR(VLOOKUP(ТабПозиции[[#This Row],[orderNum]],ТабЗаказы[#Data],MATCH(E$7,ТабЗаказы[#Headers],0),0),"")</f>
        <v/>
      </c>
      <c r="F11" s="16" t="s">
        <v>550</v>
      </c>
      <c r="G11" s="40" t="s">
        <v>545</v>
      </c>
      <c r="H11" s="17"/>
      <c r="I11" s="18">
        <v>45363</v>
      </c>
      <c r="J11" s="10">
        <v>1</v>
      </c>
      <c r="L11">
        <v>0</v>
      </c>
      <c r="M11" s="10">
        <v>299</v>
      </c>
      <c r="N11">
        <f>M11*J11</f>
        <v>299</v>
      </c>
      <c r="P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1">
        <f>IF(OR(ТабПозиции[[#This Row],[item]]="По штрихкоду",ТабПозиции[[#This Row],[item]]="Посылка"),ТабПозиции[[#This Row],[deliverySumm]]+ТабПозиции[[#This Row],[deliveryPost]],SUM(N11:P11))</f>
        <v>344</v>
      </c>
      <c r="R11" s="41">
        <v>344</v>
      </c>
      <c r="S11" s="46">
        <f>ТабПозиции[[#This Row],[totalSumm]]-ТабПозиции[[#This Row],[payment]]</f>
        <v>0</v>
      </c>
      <c r="T11" s="10" t="s">
        <v>544</v>
      </c>
      <c r="U11" s="40" t="s">
        <v>545</v>
      </c>
      <c r="V11" s="40" t="s">
        <v>545</v>
      </c>
      <c r="W11" s="40" t="s">
        <v>545</v>
      </c>
      <c r="X11"/>
      <c r="Y11"/>
    </row>
    <row r="12" spans="1:25" hidden="1" x14ac:dyDescent="0.25">
      <c r="A12" s="10">
        <v>2</v>
      </c>
      <c r="B12" s="1">
        <f>IFERROR(VLOOKUP(ТабПозиции[[#This Row],[orderNum]],ТабЗаказы[#Data],MATCH(B$7,ТабЗаказы[#Headers],0),0),"")</f>
        <v>45361</v>
      </c>
      <c r="C12" t="str">
        <f>MONTH(ТабПозиции[[#This Row],[date]])&amp;"/"&amp;YEAR(ТабПозиции[[#This Row],[date]])</f>
        <v>3/2024</v>
      </c>
      <c r="D12" s="1" t="str">
        <f>IFERROR(VLOOKUP(ТабПозиции[[#This Row],[orderNum]],ТабЗаказы[#Data],MATCH(D$7,ТабЗаказы[#Headers],0),0),"")</f>
        <v/>
      </c>
      <c r="E12" s="1" t="str">
        <f>IFERROR(VLOOKUP(ТабПозиции[[#This Row],[orderNum]],ТабЗаказы[#Data],MATCH(E$7,ТабЗаказы[#Headers],0),0),"")</f>
        <v/>
      </c>
      <c r="F12" s="16" t="s">
        <v>551</v>
      </c>
      <c r="G12" s="40" t="s">
        <v>545</v>
      </c>
      <c r="H12" s="17"/>
      <c r="I12" s="18">
        <v>45364</v>
      </c>
      <c r="J12" s="10">
        <v>1</v>
      </c>
      <c r="L12">
        <v>0</v>
      </c>
      <c r="M12" s="10">
        <v>795</v>
      </c>
      <c r="N12">
        <f t="shared" ref="N12:N75" si="0">M12*J12</f>
        <v>795</v>
      </c>
      <c r="P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Row],[orderNum]],ТабПозиции[orderSumm])&gt;1500),ABS(N12*VLOOKUP(ТабПозиции[[#This Row],[orderNum]],ТабЗаказы[#Data],MATCH("Percent",ТабЗаказы[#Headers],0),0))/100,200/COUNTIF(ТабПозиции[orderNum],ТабПозиции[[#This Row],[orderNum]])),0),"")</f>
        <v>80</v>
      </c>
      <c r="Q12">
        <f>IF(OR(ТабПозиции[[#This Row],[item]]="По штрихкоду",ТабПозиции[[#This Row],[item]]="Посылка"),ТабПозиции[[#This Row],[deliverySumm]]+ТабПозиции[[#This Row],[deliveryPost]],SUM(N12:P12))</f>
        <v>875</v>
      </c>
      <c r="R12" s="41">
        <v>875</v>
      </c>
      <c r="S12" s="46">
        <f>ТабПозиции[[#This Row],[totalSumm]]-ТабПозиции[[#This Row],[payment]]</f>
        <v>0</v>
      </c>
      <c r="T12" s="10" t="s">
        <v>544</v>
      </c>
      <c r="U12" s="40" t="s">
        <v>545</v>
      </c>
      <c r="V12" s="40" t="s">
        <v>552</v>
      </c>
      <c r="W12" s="40" t="s">
        <v>545</v>
      </c>
      <c r="X12"/>
      <c r="Y12"/>
    </row>
    <row r="13" spans="1:25" hidden="1" x14ac:dyDescent="0.25">
      <c r="A13" s="10">
        <v>2</v>
      </c>
      <c r="B13" s="1">
        <f>IFERROR(VLOOKUP(ТабПозиции[[#This Row],[orderNum]],ТабЗаказы[#Data],MATCH(B$7,ТабЗаказы[#Headers],0),0),"")</f>
        <v>45361</v>
      </c>
      <c r="C13" t="str">
        <f>MONTH(ТабПозиции[[#This Row],[date]])&amp;"/"&amp;YEAR(ТабПозиции[[#This Row],[date]])</f>
        <v>3/2024</v>
      </c>
      <c r="D13" s="1" t="str">
        <f>IFERROR(VLOOKUP(ТабПозиции[[#This Row],[orderNum]],ТабЗаказы[#Data],MATCH(D$7,ТабЗаказы[#Headers],0),0),"")</f>
        <v/>
      </c>
      <c r="E13" s="1" t="str">
        <f>IFERROR(VLOOKUP(ТабПозиции[[#This Row],[orderNum]],ТабЗаказы[#Data],MATCH(E$7,ТабЗаказы[#Headers],0),0),"")</f>
        <v/>
      </c>
      <c r="F13" s="16" t="s">
        <v>553</v>
      </c>
      <c r="G13" s="40" t="s">
        <v>545</v>
      </c>
      <c r="H13" s="17"/>
      <c r="I13" s="18">
        <v>45374</v>
      </c>
      <c r="J13" s="10">
        <v>1</v>
      </c>
      <c r="L13">
        <v>0</v>
      </c>
      <c r="M13" s="10">
        <v>496</v>
      </c>
      <c r="N13">
        <f t="shared" si="0"/>
        <v>496</v>
      </c>
      <c r="P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Row],[orderNum]],ТабПозиции[orderSumm])&gt;1500),ABS(N13*VLOOKUP(ТабПозиции[[#This Row],[orderNum]],ТабЗаказы[#Data],MATCH("Percent",ТабЗаказы[#Headers],0),0))/100,200/COUNTIF(ТабПозиции[orderNum],ТабПозиции[[#This Row],[orderNum]])),0),"")</f>
        <v>50</v>
      </c>
      <c r="Q13">
        <f>IF(OR(ТабПозиции[[#This Row],[item]]="По штрихкоду",ТабПозиции[[#This Row],[item]]="Посылка"),ТабПозиции[[#This Row],[deliverySumm]]+ТабПозиции[[#This Row],[deliveryPost]],SUM(N13:P13))</f>
        <v>546</v>
      </c>
      <c r="R13" s="41">
        <v>546</v>
      </c>
      <c r="S13" s="46">
        <f>ТабПозиции[[#This Row],[totalSumm]]-ТабПозиции[[#This Row],[payment]]</f>
        <v>0</v>
      </c>
      <c r="T13" s="10" t="s">
        <v>544</v>
      </c>
      <c r="U13" s="40" t="s">
        <v>545</v>
      </c>
      <c r="V13" s="40" t="s">
        <v>545</v>
      </c>
      <c r="W13" s="40" t="s">
        <v>545</v>
      </c>
      <c r="X13"/>
      <c r="Y13"/>
    </row>
    <row r="14" spans="1:25" hidden="1" x14ac:dyDescent="0.25">
      <c r="A14" s="10">
        <v>2</v>
      </c>
      <c r="B14" s="1">
        <f>IFERROR(VLOOKUP(ТабПозиции[[#This Row],[orderNum]],ТабЗаказы[#Data],MATCH(B$7,ТабЗаказы[#Headers],0),0),"")</f>
        <v>45361</v>
      </c>
      <c r="C14" t="str">
        <f>MONTH(ТабПозиции[[#This Row],[date]])&amp;"/"&amp;YEAR(ТабПозиции[[#This Row],[date]])</f>
        <v>3/2024</v>
      </c>
      <c r="D14" s="1" t="str">
        <f>IFERROR(VLOOKUP(ТабПозиции[[#This Row],[orderNum]],ТабЗаказы[#Data],MATCH(D$7,ТабЗаказы[#Headers],0),0),"")</f>
        <v/>
      </c>
      <c r="E14" s="1" t="str">
        <f>IFERROR(VLOOKUP(ТабПозиции[[#This Row],[orderNum]],ТабЗаказы[#Data],MATCH(E$7,ТабЗаказы[#Headers],0),0),"")</f>
        <v/>
      </c>
      <c r="F14" s="16" t="s">
        <v>554</v>
      </c>
      <c r="G14" s="40" t="s">
        <v>545</v>
      </c>
      <c r="H14" s="17"/>
      <c r="I14" s="18">
        <v>45364</v>
      </c>
      <c r="J14" s="10">
        <v>1</v>
      </c>
      <c r="L14">
        <v>0</v>
      </c>
      <c r="M14" s="10">
        <v>353</v>
      </c>
      <c r="N14">
        <f t="shared" si="0"/>
        <v>353</v>
      </c>
      <c r="P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Row],[orderNum]],ТабПозиции[orderSumm])&gt;1500),ABS(N14*VLOOKUP(ТабПозиции[[#This Row],[orderNum]],ТабЗаказы[#Data],MATCH("Percent",ТабЗаказы[#Headers],0),0))/100,200/COUNTIF(ТабПозиции[orderNum],ТабПозиции[[#This Row],[orderNum]])),0),"")</f>
        <v>35</v>
      </c>
      <c r="Q14">
        <f>IF(OR(ТабПозиции[[#This Row],[item]]="По штрихкоду",ТабПозиции[[#This Row],[item]]="Посылка"),ТабПозиции[[#This Row],[deliverySumm]]+ТабПозиции[[#This Row],[deliveryPost]],SUM(N14:P14))</f>
        <v>388</v>
      </c>
      <c r="R14" s="41">
        <v>388</v>
      </c>
      <c r="S14" s="46">
        <f>ТабПозиции[[#This Row],[totalSumm]]-ТабПозиции[[#This Row],[payment]]</f>
        <v>0</v>
      </c>
      <c r="T14" s="10" t="s">
        <v>544</v>
      </c>
      <c r="U14" s="40" t="s">
        <v>545</v>
      </c>
      <c r="V14" s="40" t="s">
        <v>552</v>
      </c>
      <c r="W14" s="40" t="s">
        <v>545</v>
      </c>
      <c r="X14"/>
      <c r="Y14"/>
    </row>
    <row r="15" spans="1:25" hidden="1" x14ac:dyDescent="0.25">
      <c r="A15" s="10">
        <v>2</v>
      </c>
      <c r="B15" s="1">
        <f>IFERROR(VLOOKUP(ТабПозиции[[#This Row],[orderNum]],ТабЗаказы[#Data],MATCH(B$7,ТабЗаказы[#Headers],0),0),"")</f>
        <v>45361</v>
      </c>
      <c r="C15" t="str">
        <f>MONTH(ТабПозиции[[#This Row],[date]])&amp;"/"&amp;YEAR(ТабПозиции[[#This Row],[date]])</f>
        <v>3/2024</v>
      </c>
      <c r="D15" s="1" t="str">
        <f>IFERROR(VLOOKUP(ТабПозиции[[#This Row],[orderNum]],ТабЗаказы[#Data],MATCH(D$7,ТабЗаказы[#Headers],0),0),"")</f>
        <v/>
      </c>
      <c r="E15" s="1" t="str">
        <f>IFERROR(VLOOKUP(ТабПозиции[[#This Row],[orderNum]],ТабЗаказы[#Data],MATCH(E$7,ТабЗаказы[#Headers],0),0),"")</f>
        <v/>
      </c>
      <c r="F15" s="16" t="s">
        <v>553</v>
      </c>
      <c r="G15" s="40" t="s">
        <v>545</v>
      </c>
      <c r="H15" s="17"/>
      <c r="I15" s="18">
        <v>45374</v>
      </c>
      <c r="J15" s="10">
        <v>1</v>
      </c>
      <c r="L15">
        <v>0</v>
      </c>
      <c r="M15" s="10">
        <v>496</v>
      </c>
      <c r="N15">
        <f t="shared" si="0"/>
        <v>496</v>
      </c>
      <c r="P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Row],[orderNum]],ТабПозиции[orderSumm])&gt;1500),ABS(N15*VLOOKUP(ТабПозиции[[#This Row],[orderNum]],ТабЗаказы[#Data],MATCH("Percent",ТабЗаказы[#Headers],0),0))/100,200/COUNTIF(ТабПозиции[orderNum],ТабПозиции[[#This Row],[orderNum]])),0),"")</f>
        <v>50</v>
      </c>
      <c r="Q15">
        <f>IF(OR(ТабПозиции[[#This Row],[item]]="По штрихкоду",ТабПозиции[[#This Row],[item]]="Посылка"),ТабПозиции[[#This Row],[deliverySumm]]+ТабПозиции[[#This Row],[deliveryPost]],SUM(N15:P15))</f>
        <v>546</v>
      </c>
      <c r="R15" s="41">
        <v>546</v>
      </c>
      <c r="S15" s="46">
        <f>ТабПозиции[[#This Row],[totalSumm]]-ТабПозиции[[#This Row],[payment]]</f>
        <v>0</v>
      </c>
      <c r="T15" s="10" t="s">
        <v>544</v>
      </c>
      <c r="U15" s="40" t="s">
        <v>545</v>
      </c>
      <c r="V15" s="40" t="s">
        <v>545</v>
      </c>
      <c r="W15" s="40" t="s">
        <v>545</v>
      </c>
      <c r="X15"/>
      <c r="Y15"/>
    </row>
    <row r="16" spans="1:25" hidden="1" x14ac:dyDescent="0.25">
      <c r="A16" s="10">
        <v>2</v>
      </c>
      <c r="B16" s="1">
        <f>IFERROR(VLOOKUP(ТабПозиции[[#This Row],[orderNum]],ТабЗаказы[#Data],MATCH(B$7,ТабЗаказы[#Headers],0),0),"")</f>
        <v>45361</v>
      </c>
      <c r="C16" t="str">
        <f>MONTH(ТабПозиции[[#This Row],[date]])&amp;"/"&amp;YEAR(ТабПозиции[[#This Row],[date]])</f>
        <v>3/2024</v>
      </c>
      <c r="D16" s="1" t="str">
        <f>IFERROR(VLOOKUP(ТабПозиции[[#This Row],[orderNum]],ТабЗаказы[#Data],MATCH(D$7,ТабЗаказы[#Headers],0),0),"")</f>
        <v/>
      </c>
      <c r="E16" s="1" t="str">
        <f>IFERROR(VLOOKUP(ТабПозиции[[#This Row],[orderNum]],ТабЗаказы[#Data],MATCH(E$7,ТабЗаказы[#Headers],0),0),"")</f>
        <v/>
      </c>
      <c r="F16" s="16" t="s">
        <v>553</v>
      </c>
      <c r="G16" s="40" t="s">
        <v>545</v>
      </c>
      <c r="H16" s="17"/>
      <c r="I16" s="18">
        <v>45374</v>
      </c>
      <c r="J16" s="10">
        <v>1</v>
      </c>
      <c r="L16">
        <v>0</v>
      </c>
      <c r="M16" s="10">
        <v>394</v>
      </c>
      <c r="N16">
        <f t="shared" si="0"/>
        <v>394</v>
      </c>
      <c r="P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Row],[orderNum]],ТабПозиции[orderSumm])&gt;1500),ABS(N16*VLOOKUP(ТабПозиции[[#This Row],[orderNum]],ТабЗаказы[#Data],MATCH("Percent",ТабЗаказы[#Headers],0),0))/100,200/COUNTIF(ТабПозиции[orderNum],ТабПозиции[[#This Row],[orderNum]])),0),"")</f>
        <v>39</v>
      </c>
      <c r="Q16">
        <f>IF(OR(ТабПозиции[[#This Row],[item]]="По штрихкоду",ТабПозиции[[#This Row],[item]]="Посылка"),ТабПозиции[[#This Row],[deliverySumm]]+ТабПозиции[[#This Row],[deliveryPost]],SUM(N16:P16))</f>
        <v>433</v>
      </c>
      <c r="R16" s="41">
        <v>433</v>
      </c>
      <c r="S16" s="46">
        <f>ТабПозиции[[#This Row],[totalSumm]]-ТабПозиции[[#This Row],[payment]]</f>
        <v>0</v>
      </c>
      <c r="T16" s="10" t="s">
        <v>544</v>
      </c>
      <c r="U16" s="40" t="s">
        <v>545</v>
      </c>
      <c r="V16" s="40" t="s">
        <v>545</v>
      </c>
      <c r="W16" s="40" t="s">
        <v>545</v>
      </c>
      <c r="X16"/>
      <c r="Y16"/>
    </row>
    <row r="17" spans="1:25" hidden="1" x14ac:dyDescent="0.25">
      <c r="A17" s="10">
        <v>3</v>
      </c>
      <c r="B17" s="1">
        <f>IFERROR(VLOOKUP(ТабПозиции[[#This Row],[orderNum]],ТабЗаказы[#Data],MATCH(B$7,ТабЗаказы[#Headers],0),0),"")</f>
        <v>45361</v>
      </c>
      <c r="C17" t="str">
        <f>MONTH(ТабПозиции[[#This Row],[date]])&amp;"/"&amp;YEAR(ТабПозиции[[#This Row],[date]])</f>
        <v>3/2024</v>
      </c>
      <c r="D17" s="1" t="str">
        <f>IFERROR(VLOOKUP(ТабПозиции[[#This Row],[orderNum]],ТабЗаказы[#Data],MATCH(D$7,ТабЗаказы[#Headers],0),0),"")</f>
        <v/>
      </c>
      <c r="E17" s="1" t="str">
        <f>IFERROR(VLOOKUP(ТабПозиции[[#This Row],[orderNum]],ТабЗаказы[#Data],MATCH(E$7,ТабЗаказы[#Headers],0),0),"")</f>
        <v/>
      </c>
      <c r="F17" s="16" t="s">
        <v>555</v>
      </c>
      <c r="G17" s="40" t="s">
        <v>545</v>
      </c>
      <c r="H17" s="17"/>
      <c r="I17" s="18">
        <v>45363</v>
      </c>
      <c r="J17" s="10">
        <v>1</v>
      </c>
      <c r="L17">
        <v>0</v>
      </c>
      <c r="M17" s="35">
        <v>230</v>
      </c>
      <c r="N17">
        <f t="shared" si="0"/>
        <v>230</v>
      </c>
      <c r="P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Row],[orderNum]],ТабПозиции[orderSumm])&gt;1500),ABS(N17*VLOOKUP(ТабПозиции[[#This Row],[orderNum]],ТабЗаказы[#Data],MATCH("Percent",ТабЗаказы[#Headers],0),0))/100,200/COUNTIF(ТабПозиции[orderNum],ТабПозиции[[#This Row],[orderNum]])),0),"")</f>
        <v>35</v>
      </c>
      <c r="Q17">
        <f>IF(OR(ТабПозиции[[#This Row],[item]]="По штрихкоду",ТабПозиции[[#This Row],[item]]="Посылка"),ТабПозиции[[#This Row],[deliverySumm]]+ТабПозиции[[#This Row],[deliveryPost]],SUM(N17:P17))</f>
        <v>265</v>
      </c>
      <c r="R17" s="41">
        <v>265</v>
      </c>
      <c r="S17" s="46">
        <f>ТабПозиции[[#This Row],[totalSumm]]-ТабПозиции[[#This Row],[payment]]</f>
        <v>0</v>
      </c>
      <c r="T17" s="10" t="s">
        <v>548</v>
      </c>
      <c r="U17" s="40" t="s">
        <v>545</v>
      </c>
      <c r="V17" s="40" t="s">
        <v>545</v>
      </c>
      <c r="W17" s="40" t="s">
        <v>545</v>
      </c>
      <c r="X17"/>
      <c r="Y17"/>
    </row>
    <row r="18" spans="1:25" hidden="1" x14ac:dyDescent="0.25">
      <c r="A18" s="10">
        <v>3</v>
      </c>
      <c r="B18" s="1">
        <f>IFERROR(VLOOKUP(ТабПозиции[[#This Row],[orderNum]],ТабЗаказы[#Data],MATCH(B$7,ТабЗаказы[#Headers],0),0),"")</f>
        <v>45361</v>
      </c>
      <c r="C18" t="str">
        <f>MONTH(ТабПозиции[[#This Row],[date]])&amp;"/"&amp;YEAR(ТабПозиции[[#This Row],[date]])</f>
        <v>3/2024</v>
      </c>
      <c r="D18" s="1" t="str">
        <f>IFERROR(VLOOKUP(ТабПозиции[[#This Row],[orderNum]],ТабЗаказы[#Data],MATCH(D$7,ТабЗаказы[#Headers],0),0),"")</f>
        <v/>
      </c>
      <c r="E18" s="1" t="str">
        <f>IFERROR(VLOOKUP(ТабПозиции[[#This Row],[orderNum]],ТабЗаказы[#Data],MATCH(E$7,ТабЗаказы[#Headers],0),0),"")</f>
        <v/>
      </c>
      <c r="F18" s="16" t="s">
        <v>556</v>
      </c>
      <c r="G18" s="40" t="s">
        <v>545</v>
      </c>
      <c r="H18" s="17"/>
      <c r="I18" s="18">
        <v>45367</v>
      </c>
      <c r="J18" s="10">
        <v>1</v>
      </c>
      <c r="L18">
        <v>0</v>
      </c>
      <c r="M18" s="35">
        <v>401</v>
      </c>
      <c r="N18">
        <f t="shared" si="0"/>
        <v>401</v>
      </c>
      <c r="P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Row],[orderNum]],ТабПозиции[orderSumm])&gt;1500),ABS(N18*VLOOKUP(ТабПозиции[[#This Row],[orderNum]],ТабЗаказы[#Data],MATCH("Percent",ТабЗаказы[#Headers],0),0))/100,200/COUNTIF(ТабПозиции[orderNum],ТабПозиции[[#This Row],[orderNum]])),0),"")</f>
        <v>60</v>
      </c>
      <c r="Q18">
        <f>IF(OR(ТабПозиции[[#This Row],[item]]="По штрихкоду",ТабПозиции[[#This Row],[item]]="Посылка"),ТабПозиции[[#This Row],[deliverySumm]]+ТабПозиции[[#This Row],[deliveryPost]],SUM(N18:P18))</f>
        <v>461</v>
      </c>
      <c r="R18" s="41">
        <v>461</v>
      </c>
      <c r="S18" s="46">
        <f>ТабПозиции[[#This Row],[totalSumm]]-ТабПозиции[[#This Row],[payment]]</f>
        <v>0</v>
      </c>
      <c r="T18" s="10" t="s">
        <v>548</v>
      </c>
      <c r="U18" s="40" t="s">
        <v>545</v>
      </c>
      <c r="V18" s="40" t="s">
        <v>545</v>
      </c>
      <c r="W18" s="40" t="s">
        <v>545</v>
      </c>
      <c r="X18"/>
      <c r="Y18"/>
    </row>
    <row r="19" spans="1:25" hidden="1" x14ac:dyDescent="0.25">
      <c r="A19" s="10">
        <v>3</v>
      </c>
      <c r="B19" s="1">
        <f>IFERROR(VLOOKUP(ТабПозиции[[#This Row],[orderNum]],ТабЗаказы[#Data],MATCH(B$7,ТабЗаказы[#Headers],0),0),"")</f>
        <v>45361</v>
      </c>
      <c r="C19" t="str">
        <f>MONTH(ТабПозиции[[#This Row],[date]])&amp;"/"&amp;YEAR(ТабПозиции[[#This Row],[date]])</f>
        <v>3/2024</v>
      </c>
      <c r="D19" s="1" t="str">
        <f>IFERROR(VLOOKUP(ТабПозиции[[#This Row],[orderNum]],ТабЗаказы[#Data],MATCH(D$7,ТабЗаказы[#Headers],0),0),"")</f>
        <v/>
      </c>
      <c r="E19" s="1" t="str">
        <f>IFERROR(VLOOKUP(ТабПозиции[[#This Row],[orderNum]],ТабЗаказы[#Data],MATCH(E$7,ТабЗаказы[#Headers],0),0),"")</f>
        <v/>
      </c>
      <c r="F19" s="16" t="s">
        <v>557</v>
      </c>
      <c r="G19" s="40" t="s">
        <v>545</v>
      </c>
      <c r="H19" s="17"/>
      <c r="I19" s="18">
        <v>45369</v>
      </c>
      <c r="J19" s="10">
        <v>1</v>
      </c>
      <c r="L19">
        <v>0</v>
      </c>
      <c r="M19" s="35">
        <v>783</v>
      </c>
      <c r="N19">
        <f t="shared" si="0"/>
        <v>783</v>
      </c>
      <c r="P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Row],[orderNum]],ТабПозиции[orderSumm])&gt;1500),ABS(N19*VLOOKUP(ТабПозиции[[#This Row],[orderNum]],ТабЗаказы[#Data],MATCH("Percent",ТабЗаказы[#Headers],0),0))/100,200/COUNTIF(ТабПозиции[orderNum],ТабПозиции[[#This Row],[orderNum]])),0),"")</f>
        <v>117</v>
      </c>
      <c r="Q19">
        <f>IF(OR(ТабПозиции[[#This Row],[item]]="По штрихкоду",ТабПозиции[[#This Row],[item]]="Посылка"),ТабПозиции[[#This Row],[deliverySumm]]+ТабПозиции[[#This Row],[deliveryPost]],SUM(N19:P19))</f>
        <v>900</v>
      </c>
      <c r="R19" s="41">
        <v>900</v>
      </c>
      <c r="S19" s="46">
        <f>ТабПозиции[[#This Row],[totalSumm]]-ТабПозиции[[#This Row],[payment]]</f>
        <v>0</v>
      </c>
      <c r="T19" s="10" t="s">
        <v>548</v>
      </c>
      <c r="U19" s="40" t="s">
        <v>545</v>
      </c>
      <c r="V19" s="40" t="s">
        <v>545</v>
      </c>
      <c r="W19" s="40" t="s">
        <v>545</v>
      </c>
      <c r="X19"/>
      <c r="Y19"/>
    </row>
    <row r="20" spans="1:25" hidden="1" x14ac:dyDescent="0.25">
      <c r="A20" s="10">
        <v>3</v>
      </c>
      <c r="B20" s="1">
        <f>IFERROR(VLOOKUP(ТабПозиции[[#This Row],[orderNum]],ТабЗаказы[#Data],MATCH(B$7,ТабЗаказы[#Headers],0),0),"")</f>
        <v>45361</v>
      </c>
      <c r="C20" t="str">
        <f>MONTH(ТабПозиции[[#This Row],[date]])&amp;"/"&amp;YEAR(ТабПозиции[[#This Row],[date]])</f>
        <v>3/2024</v>
      </c>
      <c r="D20" s="1" t="str">
        <f>IFERROR(VLOOKUP(ТабПозиции[[#This Row],[orderNum]],ТабЗаказы[#Data],MATCH(D$7,ТабЗаказы[#Headers],0),0),"")</f>
        <v/>
      </c>
      <c r="E20" s="1" t="str">
        <f>IFERROR(VLOOKUP(ТабПозиции[[#This Row],[orderNum]],ТабЗаказы[#Data],MATCH(E$7,ТабЗаказы[#Headers],0),0),"")</f>
        <v/>
      </c>
      <c r="F20" s="16" t="s">
        <v>558</v>
      </c>
      <c r="G20" s="40" t="s">
        <v>545</v>
      </c>
      <c r="H20" s="17"/>
      <c r="I20" s="18">
        <v>45363</v>
      </c>
      <c r="J20" s="10">
        <v>1</v>
      </c>
      <c r="L20">
        <v>0</v>
      </c>
      <c r="M20" s="35">
        <v>821</v>
      </c>
      <c r="N20">
        <f t="shared" si="0"/>
        <v>821</v>
      </c>
      <c r="P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Row],[orderNum]],ТабПозиции[orderSumm])&gt;1500),ABS(N20*VLOOKUP(ТабПозиции[[#This Row],[orderNum]],ТабЗаказы[#Data],MATCH("Percent",ТабЗаказы[#Headers],0),0))/100,200/COUNTIF(ТабПозиции[orderNum],ТабПозиции[[#This Row],[orderNum]])),0),"")</f>
        <v>123</v>
      </c>
      <c r="Q20">
        <f>IF(OR(ТабПозиции[[#This Row],[item]]="По штрихкоду",ТабПозиции[[#This Row],[item]]="Посылка"),ТабПозиции[[#This Row],[deliverySumm]]+ТабПозиции[[#This Row],[deliveryPost]],SUM(N20:P20))</f>
        <v>944</v>
      </c>
      <c r="R20" s="41">
        <v>944</v>
      </c>
      <c r="S20" s="46">
        <f>ТабПозиции[[#This Row],[totalSumm]]-ТабПозиции[[#This Row],[payment]]</f>
        <v>0</v>
      </c>
      <c r="T20" s="10" t="s">
        <v>548</v>
      </c>
      <c r="U20" s="40" t="s">
        <v>545</v>
      </c>
      <c r="V20" s="40" t="s">
        <v>545</v>
      </c>
      <c r="W20" s="40" t="s">
        <v>545</v>
      </c>
      <c r="X20"/>
      <c r="Y20"/>
    </row>
    <row r="21" spans="1:25" hidden="1" x14ac:dyDescent="0.25">
      <c r="A21" s="10">
        <v>3</v>
      </c>
      <c r="B21" s="1">
        <f>IFERROR(VLOOKUP(ТабПозиции[[#This Row],[orderNum]],ТабЗаказы[#Data],MATCH(B$7,ТабЗаказы[#Headers],0),0),"")</f>
        <v>45361</v>
      </c>
      <c r="C21" t="str">
        <f>MONTH(ТабПозиции[[#This Row],[date]])&amp;"/"&amp;YEAR(ТабПозиции[[#This Row],[date]])</f>
        <v>3/2024</v>
      </c>
      <c r="D21" s="1" t="str">
        <f>IFERROR(VLOOKUP(ТабПозиции[[#This Row],[orderNum]],ТабЗаказы[#Data],MATCH(D$7,ТабЗаказы[#Headers],0),0),"")</f>
        <v/>
      </c>
      <c r="E21" s="1" t="str">
        <f>IFERROR(VLOOKUP(ТабПозиции[[#This Row],[orderNum]],ТабЗаказы[#Data],MATCH(E$7,ТабЗаказы[#Headers],0),0),"")</f>
        <v/>
      </c>
      <c r="F21" s="16" t="s">
        <v>559</v>
      </c>
      <c r="G21" s="40" t="s">
        <v>545</v>
      </c>
      <c r="H21" s="17"/>
      <c r="I21" s="18">
        <v>45370</v>
      </c>
      <c r="J21" s="10">
        <v>2</v>
      </c>
      <c r="L21">
        <v>0</v>
      </c>
      <c r="M21" s="35">
        <v>544</v>
      </c>
      <c r="N21">
        <f>M21*J21</f>
        <v>1088</v>
      </c>
      <c r="P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Row],[orderNum]],ТабПозиции[orderSumm])&gt;1500),ABS(N21*VLOOKUP(ТабПозиции[[#This Row],[orderNum]],ТабЗаказы[#Data],MATCH("Percent",ТабЗаказы[#Headers],0),0))/100,200/COUNTIF(ТабПозиции[orderNum],ТабПозиции[[#This Row],[orderNum]])),0),"")</f>
        <v>163</v>
      </c>
      <c r="Q21">
        <f>IF(OR(ТабПозиции[[#This Row],[item]]="По штрихкоду",ТабПозиции[[#This Row],[item]]="Посылка"),ТабПозиции[[#This Row],[deliverySumm]]+ТабПозиции[[#This Row],[deliveryPost]],SUM(N21:P21))</f>
        <v>1251</v>
      </c>
      <c r="R21" s="41">
        <v>1251</v>
      </c>
      <c r="S21" s="46">
        <f>ТабПозиции[[#This Row],[totalSumm]]-ТабПозиции[[#This Row],[payment]]</f>
        <v>0</v>
      </c>
      <c r="T21" s="10" t="s">
        <v>548</v>
      </c>
      <c r="U21" s="40" t="s">
        <v>545</v>
      </c>
      <c r="V21" s="40" t="s">
        <v>545</v>
      </c>
      <c r="W21" s="40" t="s">
        <v>545</v>
      </c>
      <c r="X21"/>
      <c r="Y21"/>
    </row>
    <row r="22" spans="1:25" hidden="1" x14ac:dyDescent="0.25">
      <c r="A22" s="10">
        <v>3</v>
      </c>
      <c r="B22" s="1">
        <f>IFERROR(VLOOKUP(ТабПозиции[[#This Row],[orderNum]],ТабЗаказы[#Data],MATCH(B$7,ТабЗаказы[#Headers],0),0),"")</f>
        <v>45361</v>
      </c>
      <c r="C22" t="str">
        <f>MONTH(ТабПозиции[[#This Row],[date]])&amp;"/"&amp;YEAR(ТабПозиции[[#This Row],[date]])</f>
        <v>3/2024</v>
      </c>
      <c r="D22" s="1" t="str">
        <f>IFERROR(VLOOKUP(ТабПозиции[[#This Row],[orderNum]],ТабЗаказы[#Data],MATCH(D$7,ТабЗаказы[#Headers],0),0),"")</f>
        <v/>
      </c>
      <c r="E22" s="1" t="str">
        <f>IFERROR(VLOOKUP(ТабПозиции[[#This Row],[orderNum]],ТабЗаказы[#Data],MATCH(E$7,ТабЗаказы[#Headers],0),0),"")</f>
        <v/>
      </c>
      <c r="F22" s="16" t="s">
        <v>560</v>
      </c>
      <c r="G22" s="40" t="s">
        <v>545</v>
      </c>
      <c r="H22" s="17"/>
      <c r="I22" s="18">
        <v>45363</v>
      </c>
      <c r="J22" s="10">
        <v>1</v>
      </c>
      <c r="L22">
        <v>0</v>
      </c>
      <c r="M22" s="35">
        <v>159</v>
      </c>
      <c r="N22">
        <f t="shared" si="0"/>
        <v>159</v>
      </c>
      <c r="P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Row],[orderNum]],ТабПозиции[orderSumm])&gt;1500),ABS(N22*VLOOKUP(ТабПозиции[[#This Row],[orderNum]],ТабЗаказы[#Data],MATCH("Percent",ТабЗаказы[#Headers],0),0))/100,200/COUNTIF(ТабПозиции[orderNum],ТабПозиции[[#This Row],[orderNum]])),0),"")</f>
        <v>24</v>
      </c>
      <c r="Q22">
        <f>IF(OR(ТабПозиции[[#This Row],[item]]="По штрихкоду",ТабПозиции[[#This Row],[item]]="Посылка"),ТабПозиции[[#This Row],[deliverySumm]]+ТабПозиции[[#This Row],[deliveryPost]],SUM(N22:P22))</f>
        <v>183</v>
      </c>
      <c r="R22" s="41">
        <v>183</v>
      </c>
      <c r="S22" s="46">
        <f>ТабПозиции[[#This Row],[totalSumm]]-ТабПозиции[[#This Row],[payment]]</f>
        <v>0</v>
      </c>
      <c r="T22" s="10" t="s">
        <v>548</v>
      </c>
      <c r="U22" s="40" t="s">
        <v>545</v>
      </c>
      <c r="V22" s="40" t="s">
        <v>545</v>
      </c>
      <c r="W22" s="40" t="s">
        <v>545</v>
      </c>
      <c r="X22"/>
      <c r="Y22"/>
    </row>
    <row r="23" spans="1:25" hidden="1" x14ac:dyDescent="0.25">
      <c r="A23" s="10">
        <v>3</v>
      </c>
      <c r="B23" s="1">
        <f>IFERROR(VLOOKUP(ТабПозиции[[#This Row],[orderNum]],ТабЗаказы[#Data],MATCH(B$7,ТабЗаказы[#Headers],0),0),"")</f>
        <v>45361</v>
      </c>
      <c r="C23" t="str">
        <f>MONTH(ТабПозиции[[#This Row],[date]])&amp;"/"&amp;YEAR(ТабПозиции[[#This Row],[date]])</f>
        <v>3/2024</v>
      </c>
      <c r="D23" s="1" t="str">
        <f>IFERROR(VLOOKUP(ТабПозиции[[#This Row],[orderNum]],ТабЗаказы[#Data],MATCH(D$7,ТабЗаказы[#Headers],0),0),"")</f>
        <v/>
      </c>
      <c r="E23" s="1" t="str">
        <f>IFERROR(VLOOKUP(ТабПозиции[[#This Row],[orderNum]],ТабЗаказы[#Data],MATCH(E$7,ТабЗаказы[#Headers],0),0),"")</f>
        <v/>
      </c>
      <c r="F23" s="16" t="s">
        <v>561</v>
      </c>
      <c r="G23" s="40" t="s">
        <v>545</v>
      </c>
      <c r="H23" s="17"/>
      <c r="I23" s="18">
        <v>45363</v>
      </c>
      <c r="J23" s="10">
        <v>1</v>
      </c>
      <c r="L23">
        <v>0</v>
      </c>
      <c r="M23" s="35">
        <v>262</v>
      </c>
      <c r="N23">
        <f t="shared" si="0"/>
        <v>262</v>
      </c>
      <c r="P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Row],[orderNum]],ТабПозиции[orderSumm])&gt;1500),ABS(N23*VLOOKUP(ТабПозиции[[#This Row],[orderNum]],ТабЗаказы[#Data],MATCH("Percent",ТабЗаказы[#Headers],0),0))/100,200/COUNTIF(ТабПозиции[orderNum],ТабПозиции[[#This Row],[orderNum]])),0),"")</f>
        <v>39</v>
      </c>
      <c r="Q23">
        <f>IF(OR(ТабПозиции[[#This Row],[item]]="По штрихкоду",ТабПозиции[[#This Row],[item]]="Посылка"),ТабПозиции[[#This Row],[deliverySumm]]+ТабПозиции[[#This Row],[deliveryPost]],SUM(N23:P23))</f>
        <v>301</v>
      </c>
      <c r="R23" s="41">
        <v>301</v>
      </c>
      <c r="S23" s="46">
        <f>ТабПозиции[[#This Row],[totalSumm]]-ТабПозиции[[#This Row],[payment]]</f>
        <v>0</v>
      </c>
      <c r="T23" s="10" t="s">
        <v>548</v>
      </c>
      <c r="U23" s="40" t="s">
        <v>545</v>
      </c>
      <c r="V23" s="40" t="s">
        <v>545</v>
      </c>
      <c r="W23" s="40" t="s">
        <v>545</v>
      </c>
      <c r="X23"/>
      <c r="Y23"/>
    </row>
    <row r="24" spans="1:25" hidden="1" x14ac:dyDescent="0.25">
      <c r="A24" s="10">
        <v>3</v>
      </c>
      <c r="B24" s="1">
        <f>IFERROR(VLOOKUP(ТабПозиции[[#This Row],[orderNum]],ТабЗаказы[#Data],MATCH(B$7,ТабЗаказы[#Headers],0),0),"")</f>
        <v>45361</v>
      </c>
      <c r="C24" t="str">
        <f>MONTH(ТабПозиции[[#This Row],[date]])&amp;"/"&amp;YEAR(ТабПозиции[[#This Row],[date]])</f>
        <v>3/2024</v>
      </c>
      <c r="D24" s="1" t="str">
        <f>IFERROR(VLOOKUP(ТабПозиции[[#This Row],[orderNum]],ТабЗаказы[#Data],MATCH(D$7,ТабЗаказы[#Headers],0),0),"")</f>
        <v/>
      </c>
      <c r="E24" s="1" t="str">
        <f>IFERROR(VLOOKUP(ТабПозиции[[#This Row],[orderNum]],ТабЗаказы[#Data],MATCH(E$7,ТабЗаказы[#Headers],0),0),"")</f>
        <v/>
      </c>
      <c r="F24" s="16" t="s">
        <v>562</v>
      </c>
      <c r="G24" s="40" t="s">
        <v>545</v>
      </c>
      <c r="H24" s="17"/>
      <c r="I24" s="18">
        <v>45366</v>
      </c>
      <c r="J24" s="10">
        <v>2</v>
      </c>
      <c r="L24">
        <v>0</v>
      </c>
      <c r="M24" s="35">
        <v>384</v>
      </c>
      <c r="N24">
        <f t="shared" si="0"/>
        <v>768</v>
      </c>
      <c r="P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Row],[orderNum]],ТабПозиции[orderSumm])&gt;1500),ABS(N24*VLOOKUP(ТабПозиции[[#This Row],[orderNum]],ТабЗаказы[#Data],MATCH("Percent",ТабЗаказы[#Headers],0),0))/100,200/COUNTIF(ТабПозиции[orderNum],ТабПозиции[[#This Row],[orderNum]])),0),"")</f>
        <v>115</v>
      </c>
      <c r="Q24">
        <f>IF(OR(ТабПозиции[[#This Row],[item]]="По штрихкоду",ТабПозиции[[#This Row],[item]]="Посылка"),ТабПозиции[[#This Row],[deliverySumm]]+ТабПозиции[[#This Row],[deliveryPost]],SUM(N24:P24))</f>
        <v>883</v>
      </c>
      <c r="R24" s="41">
        <v>883</v>
      </c>
      <c r="S24" s="46">
        <f>ТабПозиции[[#This Row],[totalSumm]]-ТабПозиции[[#This Row],[payment]]</f>
        <v>0</v>
      </c>
      <c r="T24" s="10" t="s">
        <v>563</v>
      </c>
      <c r="U24" s="40" t="s">
        <v>545</v>
      </c>
      <c r="V24" s="40" t="s">
        <v>545</v>
      </c>
      <c r="W24" s="40" t="s">
        <v>545</v>
      </c>
      <c r="X24"/>
      <c r="Y24"/>
    </row>
    <row r="25" spans="1:25" hidden="1" x14ac:dyDescent="0.25">
      <c r="A25" s="10">
        <v>4</v>
      </c>
      <c r="B25" s="1">
        <f>IFERROR(VLOOKUP(ТабПозиции[[#This Row],[orderNum]],ТабЗаказы[#Data],MATCH(B$7,ТабЗаказы[#Headers],0),0),"")</f>
        <v>45361</v>
      </c>
      <c r="C25" t="str">
        <f>MONTH(ТабПозиции[[#This Row],[date]])&amp;"/"&amp;YEAR(ТабПозиции[[#This Row],[date]])</f>
        <v>3/2024</v>
      </c>
      <c r="D25" s="1" t="str">
        <f>IFERROR(VLOOKUP(ТабПозиции[[#This Row],[orderNum]],ТабЗаказы[#Data],MATCH(D$7,ТабЗаказы[#Headers],0),0),"")</f>
        <v/>
      </c>
      <c r="E25" s="1" t="str">
        <f>IFERROR(VLOOKUP(ТабПозиции[[#This Row],[orderNum]],ТабЗаказы[#Data],MATCH(E$7,ТабЗаказы[#Headers],0),0),"")</f>
        <v/>
      </c>
      <c r="F25" s="16" t="s">
        <v>564</v>
      </c>
      <c r="G25" s="40" t="s">
        <v>545</v>
      </c>
      <c r="H25" s="17" t="s">
        <v>565</v>
      </c>
      <c r="I25" s="18">
        <v>45387</v>
      </c>
      <c r="J25" s="10">
        <v>1</v>
      </c>
      <c r="L25">
        <v>0</v>
      </c>
      <c r="M25" s="10">
        <v>2789</v>
      </c>
      <c r="N25">
        <f t="shared" si="0"/>
        <v>2789</v>
      </c>
      <c r="P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Row],[orderNum]],ТабПозиции[orderSumm])&gt;1500),ABS(N25*VLOOKUP(ТабПозиции[[#This Row],[orderNum]],ТабЗаказы[#Data],MATCH("Percent",ТабЗаказы[#Headers],0),0))/100,200/COUNTIF(ТабПозиции[orderNum],ТабПозиции[[#This Row],[orderNum]])),0),"")</f>
        <v>418</v>
      </c>
      <c r="Q25">
        <f>IF(OR(ТабПозиции[[#This Row],[item]]="По штрихкоду",ТабПозиции[[#This Row],[item]]="Посылка"),ТабПозиции[[#This Row],[deliverySumm]]+ТабПозиции[[#This Row],[deliveryPost]],SUM(N25:P25))</f>
        <v>3207</v>
      </c>
      <c r="R25" s="41">
        <v>3207</v>
      </c>
      <c r="S25" s="46">
        <f>ТабПозиции[[#This Row],[totalSumm]]-ТабПозиции[[#This Row],[payment]]</f>
        <v>0</v>
      </c>
      <c r="T25" s="10" t="s">
        <v>566</v>
      </c>
      <c r="U25" s="40" t="s">
        <v>545</v>
      </c>
      <c r="V25" s="40" t="s">
        <v>545</v>
      </c>
      <c r="W25" s="40" t="s">
        <v>545</v>
      </c>
      <c r="X25"/>
      <c r="Y25"/>
    </row>
    <row r="26" spans="1:25" hidden="1" x14ac:dyDescent="0.25">
      <c r="A26" s="10">
        <v>4</v>
      </c>
      <c r="B26" s="1">
        <f>IFERROR(VLOOKUP(ТабПозиции[[#This Row],[orderNum]],ТабЗаказы[#Data],MATCH(B$7,ТабЗаказы[#Headers],0),0),"")</f>
        <v>45361</v>
      </c>
      <c r="C26" t="str">
        <f>MONTH(ТабПозиции[[#This Row],[date]])&amp;"/"&amp;YEAR(ТабПозиции[[#This Row],[date]])</f>
        <v>3/2024</v>
      </c>
      <c r="D26" s="1" t="str">
        <f>IFERROR(VLOOKUP(ТабПозиции[[#This Row],[orderNum]],ТабЗаказы[#Data],MATCH(D$7,ТабЗаказы[#Headers],0),0),"")</f>
        <v/>
      </c>
      <c r="E26" s="1" t="str">
        <f>IFERROR(VLOOKUP(ТабПозиции[[#This Row],[orderNum]],ТабЗаказы[#Data],MATCH(E$7,ТабЗаказы[#Headers],0),0),"")</f>
        <v/>
      </c>
      <c r="F26" s="16" t="s">
        <v>567</v>
      </c>
      <c r="G26" s="40" t="s">
        <v>545</v>
      </c>
      <c r="H26" s="17" t="s">
        <v>568</v>
      </c>
      <c r="I26" s="18">
        <v>45387</v>
      </c>
      <c r="J26" s="10">
        <v>1</v>
      </c>
      <c r="L26">
        <v>0</v>
      </c>
      <c r="M26" s="10">
        <v>462</v>
      </c>
      <c r="N26">
        <f t="shared" si="0"/>
        <v>462</v>
      </c>
      <c r="P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Row],[orderNum]],ТабПозиции[orderSumm])&gt;1500),ABS(N26*VLOOKUP(ТабПозиции[[#This Row],[orderNum]],ТабЗаказы[#Data],MATCH("Percent",ТабЗаказы[#Headers],0),0))/100,200/COUNTIF(ТабПозиции[orderNum],ТабПозиции[[#This Row],[orderNum]])),0),"")</f>
        <v>69</v>
      </c>
      <c r="Q26">
        <f>IF(OR(ТабПозиции[[#This Row],[item]]="По штрихкоду",ТабПозиции[[#This Row],[item]]="Посылка"),ТабПозиции[[#This Row],[deliverySumm]]+ТабПозиции[[#This Row],[deliveryPost]],SUM(N26:P26))</f>
        <v>531</v>
      </c>
      <c r="R26" s="41">
        <v>531</v>
      </c>
      <c r="S26" s="46">
        <f>ТабПозиции[[#This Row],[totalSumm]]-ТабПозиции[[#This Row],[payment]]</f>
        <v>0</v>
      </c>
      <c r="T26" s="10" t="s">
        <v>566</v>
      </c>
      <c r="U26" s="40" t="s">
        <v>545</v>
      </c>
      <c r="V26" s="40" t="s">
        <v>545</v>
      </c>
      <c r="W26" s="40" t="s">
        <v>545</v>
      </c>
      <c r="X26"/>
      <c r="Y26"/>
    </row>
    <row r="27" spans="1:25" hidden="1" x14ac:dyDescent="0.25">
      <c r="A27" s="10">
        <v>5</v>
      </c>
      <c r="B27" s="1">
        <f>IFERROR(VLOOKUP(ТабПозиции[[#This Row],[orderNum]],ТабЗаказы[#Data],MATCH(B$7,ТабЗаказы[#Headers],0),0),"")</f>
        <v>45365</v>
      </c>
      <c r="C27" t="str">
        <f>MONTH(ТабПозиции[[#This Row],[date]])&amp;"/"&amp;YEAR(ТабПозиции[[#This Row],[date]])</f>
        <v>3/2024</v>
      </c>
      <c r="D27" s="1" t="str">
        <f>IFERROR(VLOOKUP(ТабПозиции[[#This Row],[orderNum]],ТабЗаказы[#Data],MATCH(D$7,ТабЗаказы[#Headers],0),0),"")</f>
        <v/>
      </c>
      <c r="E27" s="1" t="str">
        <f>IFERROR(VLOOKUP(ТабПозиции[[#This Row],[orderNum]],ТабЗаказы[#Data],MATCH(E$7,ТабЗаказы[#Headers],0),0),"")</f>
        <v/>
      </c>
      <c r="F27" s="16" t="s">
        <v>569</v>
      </c>
      <c r="G27" s="40" t="s">
        <v>545</v>
      </c>
      <c r="H27" s="17"/>
      <c r="I27" s="18">
        <v>45367</v>
      </c>
      <c r="J27" s="10">
        <v>1</v>
      </c>
      <c r="L27">
        <v>0</v>
      </c>
      <c r="M27" s="10">
        <v>1190</v>
      </c>
      <c r="N27">
        <f t="shared" si="0"/>
        <v>1190</v>
      </c>
      <c r="P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27">
        <f>IF(OR(ТабПозиции[[#This Row],[item]]="По штрихкоду",ТабПозиции[[#This Row],[item]]="Посылка"),ТабПозиции[[#This Row],[deliverySumm]]+ТабПозиции[[#This Row],[deliveryPost]],SUM(N27:P27))</f>
        <v>1390</v>
      </c>
      <c r="R27" s="41">
        <v>1390</v>
      </c>
      <c r="S27" s="46">
        <f>ТабПозиции[[#This Row],[totalSumm]]-ТабПозиции[[#This Row],[payment]]</f>
        <v>0</v>
      </c>
      <c r="T27" s="10" t="s">
        <v>563</v>
      </c>
      <c r="U27" s="40" t="s">
        <v>545</v>
      </c>
      <c r="V27" s="40" t="s">
        <v>545</v>
      </c>
      <c r="W27" s="40" t="s">
        <v>545</v>
      </c>
      <c r="X27"/>
      <c r="Y27"/>
    </row>
    <row r="28" spans="1:25" hidden="1" x14ac:dyDescent="0.25">
      <c r="A28" s="10">
        <v>6</v>
      </c>
      <c r="B28" s="1">
        <f>IFERROR(VLOOKUP(ТабПозиции[[#This Row],[orderNum]],ТабЗаказы[#Data],MATCH(B$7,ТабЗаказы[#Headers],0),0),"")</f>
        <v>45365</v>
      </c>
      <c r="C28" t="str">
        <f>MONTH(ТабПозиции[[#This Row],[date]])&amp;"/"&amp;YEAR(ТабПозиции[[#This Row],[date]])</f>
        <v>3/2024</v>
      </c>
      <c r="D28" s="1" t="str">
        <f>IFERROR(VLOOKUP(ТабПозиции[[#This Row],[orderNum]],ТабЗаказы[#Data],MATCH(D$7,ТабЗаказы[#Headers],0),0),"")</f>
        <v/>
      </c>
      <c r="E28" s="1" t="str">
        <f>IFERROR(VLOOKUP(ТабПозиции[[#This Row],[orderNum]],ТабЗаказы[#Data],MATCH(E$7,ТабЗаказы[#Headers],0),0),"")</f>
        <v/>
      </c>
      <c r="F28" s="10" t="s">
        <v>570</v>
      </c>
      <c r="G28" s="40" t="s">
        <v>545</v>
      </c>
      <c r="I28" s="18">
        <v>45366</v>
      </c>
      <c r="J28" s="10">
        <v>1</v>
      </c>
      <c r="L28">
        <v>0</v>
      </c>
      <c r="M28" s="10">
        <v>2135</v>
      </c>
      <c r="N28">
        <f t="shared" si="0"/>
        <v>2135</v>
      </c>
      <c r="P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Row],[orderNum]],ТабПозиции[orderSumm])&gt;1500),ABS(N28*VLOOKUP(ТабПозиции[[#This Row],[orderNum]],ТабЗаказы[#Data],MATCH("Percent",ТабЗаказы[#Headers],0),0))/100,200/COUNTIF(ТабПозиции[orderNum],ТабПозиции[[#This Row],[orderNum]])),0),"")</f>
        <v>320</v>
      </c>
      <c r="Q28">
        <f>IF(OR(ТабПозиции[[#This Row],[item]]="По штрихкоду",ТабПозиции[[#This Row],[item]]="Посылка"),ТабПозиции[[#This Row],[deliverySumm]]+ТабПозиции[[#This Row],[deliveryPost]],SUM(N28:P28))</f>
        <v>2455</v>
      </c>
      <c r="R28" s="41">
        <v>2455</v>
      </c>
      <c r="S28" s="46">
        <f>ТабПозиции[[#This Row],[totalSumm]]-ТабПозиции[[#This Row],[payment]]</f>
        <v>0</v>
      </c>
      <c r="T28" s="10" t="s">
        <v>548</v>
      </c>
      <c r="U28" s="40" t="s">
        <v>545</v>
      </c>
      <c r="V28" s="40" t="s">
        <v>545</v>
      </c>
      <c r="W28" s="40" t="s">
        <v>545</v>
      </c>
      <c r="X28"/>
      <c r="Y28"/>
    </row>
    <row r="29" spans="1:25" hidden="1" x14ac:dyDescent="0.25">
      <c r="A29" s="10">
        <v>7</v>
      </c>
      <c r="B29" s="1">
        <f>IFERROR(VLOOKUP(ТабПозиции[[#This Row],[orderNum]],ТабЗаказы[#Data],MATCH(B$7,ТабЗаказы[#Headers],0),0),"")</f>
        <v>45367</v>
      </c>
      <c r="C29" t="str">
        <f>MONTH(ТабПозиции[[#This Row],[date]])&amp;"/"&amp;YEAR(ТабПозиции[[#This Row],[date]])</f>
        <v>3/2024</v>
      </c>
      <c r="D29" s="1" t="str">
        <f>IFERROR(VLOOKUP(ТабПозиции[[#This Row],[orderNum]],ТабЗаказы[#Data],MATCH(D$7,ТабЗаказы[#Headers],0),0),"")</f>
        <v/>
      </c>
      <c r="E29" s="1" t="str">
        <f>IFERROR(VLOOKUP(ТабПозиции[[#This Row],[orderNum]],ТабЗаказы[#Data],MATCH(E$7,ТабЗаказы[#Headers],0),0),"")</f>
        <v/>
      </c>
      <c r="F29" s="16" t="s">
        <v>571</v>
      </c>
      <c r="G29" s="40" t="s">
        <v>545</v>
      </c>
      <c r="H29" s="17"/>
      <c r="I29" s="18">
        <v>45369</v>
      </c>
      <c r="J29" s="10">
        <v>1</v>
      </c>
      <c r="L29">
        <v>0</v>
      </c>
      <c r="M29" s="10">
        <v>3549</v>
      </c>
      <c r="N29">
        <f t="shared" si="0"/>
        <v>3549</v>
      </c>
      <c r="P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Row],[orderNum]],ТабПозиции[orderSumm])&gt;1500),ABS(N29*VLOOKUP(ТабПозиции[[#This Row],[orderNum]],ТабЗаказы[#Data],MATCH("Percent",ТабЗаказы[#Headers],0),0))/100,200/COUNTIF(ТабПозиции[orderNum],ТабПозиции[[#This Row],[orderNum]])),0),"")</f>
        <v>532</v>
      </c>
      <c r="Q29">
        <f>IF(OR(ТабПозиции[[#This Row],[item]]="По штрихкоду",ТабПозиции[[#This Row],[item]]="Посылка"),ТабПозиции[[#This Row],[deliverySumm]]+ТабПозиции[[#This Row],[deliveryPost]],SUM(N29:P29))</f>
        <v>4081</v>
      </c>
      <c r="R29" s="41">
        <v>4081</v>
      </c>
      <c r="S29" s="46">
        <f>ТабПозиции[[#This Row],[totalSumm]]-ТабПозиции[[#This Row],[payment]]</f>
        <v>0</v>
      </c>
      <c r="T29" s="10" t="s">
        <v>563</v>
      </c>
      <c r="U29" s="40" t="s">
        <v>545</v>
      </c>
      <c r="V29" s="40" t="s">
        <v>545</v>
      </c>
      <c r="W29" s="40" t="s">
        <v>545</v>
      </c>
      <c r="X29"/>
      <c r="Y29"/>
    </row>
    <row r="30" spans="1:25" hidden="1" x14ac:dyDescent="0.25">
      <c r="A30" s="10">
        <v>8</v>
      </c>
      <c r="B30" s="1">
        <f>IFERROR(VLOOKUP(ТабПозиции[[#This Row],[orderNum]],ТабЗаказы[#Data],MATCH(B$7,ТабЗаказы[#Headers],0),0),"")</f>
        <v>45367</v>
      </c>
      <c r="C30" t="str">
        <f>MONTH(ТабПозиции[[#This Row],[date]])&amp;"/"&amp;YEAR(ТабПозиции[[#This Row],[date]])</f>
        <v>3/2024</v>
      </c>
      <c r="D30" s="1" t="str">
        <f>IFERROR(VLOOKUP(ТабПозиции[[#This Row],[orderNum]],ТабЗаказы[#Data],MATCH(D$7,ТабЗаказы[#Headers],0),0),"")</f>
        <v/>
      </c>
      <c r="E30" s="1" t="str">
        <f>IFERROR(VLOOKUP(ТабПозиции[[#This Row],[orderNum]],ТабЗаказы[#Data],MATCH(E$7,ТабЗаказы[#Headers],0),0),"")</f>
        <v/>
      </c>
      <c r="F30" s="16" t="s">
        <v>572</v>
      </c>
      <c r="G30" s="40" t="s">
        <v>545</v>
      </c>
      <c r="H30" s="17"/>
      <c r="I30" s="18">
        <v>45379</v>
      </c>
      <c r="J30" s="10">
        <v>1</v>
      </c>
      <c r="L30">
        <v>0</v>
      </c>
      <c r="M30" s="10">
        <v>2100</v>
      </c>
      <c r="N30">
        <f t="shared" si="0"/>
        <v>2100</v>
      </c>
      <c r="P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Row],[orderNum]],ТабПозиции[orderSumm])&gt;1500),ABS(N30*VLOOKUP(ТабПозиции[[#This Row],[orderNum]],ТабЗаказы[#Data],MATCH("Percent",ТабЗаказы[#Headers],0),0))/100,200/COUNTIF(ТабПозиции[orderNum],ТабПозиции[[#This Row],[orderNum]])),0),"")</f>
        <v>315</v>
      </c>
      <c r="Q30">
        <f>IF(OR(ТабПозиции[[#This Row],[item]]="По штрихкоду",ТабПозиции[[#This Row],[item]]="Посылка"),ТабПозиции[[#This Row],[deliverySumm]]+ТабПозиции[[#This Row],[deliveryPost]],SUM(N30:P30))</f>
        <v>2415</v>
      </c>
      <c r="R30" s="41">
        <v>2415</v>
      </c>
      <c r="S30" s="46">
        <f>ТабПозиции[[#This Row],[totalSumm]]-ТабПозиции[[#This Row],[payment]]</f>
        <v>0</v>
      </c>
      <c r="T30" s="10" t="s">
        <v>563</v>
      </c>
      <c r="U30" s="40" t="s">
        <v>545</v>
      </c>
      <c r="V30" s="40" t="s">
        <v>545</v>
      </c>
      <c r="W30" s="40" t="s">
        <v>545</v>
      </c>
      <c r="X30"/>
      <c r="Y30"/>
    </row>
    <row r="31" spans="1:25" hidden="1" x14ac:dyDescent="0.25">
      <c r="A31" s="10">
        <v>9</v>
      </c>
      <c r="B31" s="1">
        <f>IFERROR(VLOOKUP(ТабПозиции[[#This Row],[orderNum]],ТабЗаказы[#Data],MATCH(B$7,ТабЗаказы[#Headers],0),0),"")</f>
        <v>45367</v>
      </c>
      <c r="C31" t="str">
        <f>MONTH(ТабПозиции[[#This Row],[date]])&amp;"/"&amp;YEAR(ТабПозиции[[#This Row],[date]])</f>
        <v>3/2024</v>
      </c>
      <c r="D31" s="1" t="str">
        <f>IFERROR(VLOOKUP(ТабПозиции[[#This Row],[orderNum]],ТабЗаказы[#Data],MATCH(D$7,ТабЗаказы[#Headers],0),0),"")</f>
        <v/>
      </c>
      <c r="E31" s="1" t="str">
        <f>IFERROR(VLOOKUP(ТабПозиции[[#This Row],[orderNum]],ТабЗаказы[#Data],MATCH(E$7,ТабЗаказы[#Headers],0),0),"")</f>
        <v/>
      </c>
      <c r="F31" s="16" t="s">
        <v>573</v>
      </c>
      <c r="G31" s="40" t="s">
        <v>545</v>
      </c>
      <c r="H31" s="17"/>
      <c r="I31" s="18">
        <v>45369</v>
      </c>
      <c r="J31" s="10">
        <v>1</v>
      </c>
      <c r="L31">
        <v>0</v>
      </c>
      <c r="M31" s="10">
        <v>275</v>
      </c>
      <c r="N31">
        <f t="shared" si="0"/>
        <v>275</v>
      </c>
      <c r="P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Row],[orderNum]],ТабПозиции[orderSumm])&gt;1500),ABS(N31*VLOOKUP(ТабПозиции[[#This Row],[orderNum]],ТабЗаказы[#Data],MATCH("Percent",ТабЗаказы[#Headers],0),0))/100,200/COUNTIF(ТабПозиции[orderNum],ТабПозиции[[#This Row],[orderNum]])),0),"")</f>
        <v>41</v>
      </c>
      <c r="Q31">
        <f>IF(OR(ТабПозиции[[#This Row],[item]]="По штрихкоду",ТабПозиции[[#This Row],[item]]="Посылка"),ТабПозиции[[#This Row],[deliverySumm]]+ТабПозиции[[#This Row],[deliveryPost]],SUM(N31:P31))</f>
        <v>316</v>
      </c>
      <c r="R31" s="41">
        <v>316</v>
      </c>
      <c r="S31" s="46">
        <f>ТабПозиции[[#This Row],[totalSumm]]-ТабПозиции[[#This Row],[payment]]</f>
        <v>0</v>
      </c>
      <c r="T31" s="10" t="s">
        <v>563</v>
      </c>
      <c r="U31" s="40" t="s">
        <v>545</v>
      </c>
      <c r="V31" s="40" t="s">
        <v>545</v>
      </c>
      <c r="W31" s="40" t="s">
        <v>545</v>
      </c>
      <c r="X31"/>
      <c r="Y31"/>
    </row>
    <row r="32" spans="1:25" hidden="1" x14ac:dyDescent="0.25">
      <c r="A32" s="10">
        <v>9</v>
      </c>
      <c r="B32" s="1">
        <f>IFERROR(VLOOKUP(ТабПозиции[[#This Row],[orderNum]],ТабЗаказы[#Data],MATCH(B$7,ТабЗаказы[#Headers],0),0),"")</f>
        <v>45367</v>
      </c>
      <c r="C32" t="str">
        <f>MONTH(ТабПозиции[[#This Row],[date]])&amp;"/"&amp;YEAR(ТабПозиции[[#This Row],[date]])</f>
        <v>3/2024</v>
      </c>
      <c r="D32" s="1" t="str">
        <f>IFERROR(VLOOKUP(ТабПозиции[[#This Row],[orderNum]],ТабЗаказы[#Data],MATCH(D$7,ТабЗаказы[#Headers],0),0),"")</f>
        <v/>
      </c>
      <c r="E32" s="1" t="str">
        <f>IFERROR(VLOOKUP(ТабПозиции[[#This Row],[orderNum]],ТабЗаказы[#Data],MATCH(E$7,ТабЗаказы[#Headers],0),0),"")</f>
        <v/>
      </c>
      <c r="F32" s="16" t="s">
        <v>574</v>
      </c>
      <c r="G32" s="40" t="s">
        <v>545</v>
      </c>
      <c r="H32" s="17"/>
      <c r="I32" s="18">
        <v>45369</v>
      </c>
      <c r="J32" s="10">
        <v>1</v>
      </c>
      <c r="L32">
        <v>0</v>
      </c>
      <c r="M32" s="10">
        <v>292</v>
      </c>
      <c r="N32">
        <f t="shared" si="0"/>
        <v>292</v>
      </c>
      <c r="P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Row],[orderNum]],ТабПозиции[orderSumm])&gt;1500),ABS(N32*VLOOKUP(ТабПозиции[[#This Row],[orderNum]],ТабЗаказы[#Data],MATCH("Percent",ТабЗаказы[#Headers],0),0))/100,200/COUNTIF(ТабПозиции[orderNum],ТабПозиции[[#This Row],[orderNum]])),0),"")</f>
        <v>44</v>
      </c>
      <c r="Q32">
        <f>IF(OR(ТабПозиции[[#This Row],[item]]="По штрихкоду",ТабПозиции[[#This Row],[item]]="Посылка"),ТабПозиции[[#This Row],[deliverySumm]]+ТабПозиции[[#This Row],[deliveryPost]],SUM(N32:P32))</f>
        <v>336</v>
      </c>
      <c r="R32" s="41">
        <v>336</v>
      </c>
      <c r="S32" s="46">
        <f>ТабПозиции[[#This Row],[totalSumm]]-ТабПозиции[[#This Row],[payment]]</f>
        <v>0</v>
      </c>
      <c r="T32" s="10" t="s">
        <v>563</v>
      </c>
      <c r="U32" s="40" t="s">
        <v>545</v>
      </c>
      <c r="V32" s="40" t="s">
        <v>545</v>
      </c>
      <c r="W32" s="40" t="s">
        <v>545</v>
      </c>
      <c r="X32"/>
      <c r="Y32"/>
    </row>
    <row r="33" spans="1:25" hidden="1" x14ac:dyDescent="0.25">
      <c r="A33" s="10">
        <v>9</v>
      </c>
      <c r="B33" s="1">
        <f>IFERROR(VLOOKUP(ТабПозиции[[#This Row],[orderNum]],ТабЗаказы[#Data],MATCH(B$7,ТабЗаказы[#Headers],0),0),"")</f>
        <v>45367</v>
      </c>
      <c r="C33" t="str">
        <f>MONTH(ТабПозиции[[#This Row],[date]])&amp;"/"&amp;YEAR(ТабПозиции[[#This Row],[date]])</f>
        <v>3/2024</v>
      </c>
      <c r="D33" s="1" t="str">
        <f>IFERROR(VLOOKUP(ТабПозиции[[#This Row],[orderNum]],ТабЗаказы[#Data],MATCH(D$7,ТабЗаказы[#Headers],0),0),"")</f>
        <v/>
      </c>
      <c r="E33" s="1" t="str">
        <f>IFERROR(VLOOKUP(ТабПозиции[[#This Row],[orderNum]],ТабЗаказы[#Data],MATCH(E$7,ТабЗаказы[#Headers],0),0),"")</f>
        <v/>
      </c>
      <c r="F33" s="16" t="s">
        <v>575</v>
      </c>
      <c r="G33" s="40" t="s">
        <v>545</v>
      </c>
      <c r="H33" s="17"/>
      <c r="I33" s="18">
        <v>45369</v>
      </c>
      <c r="J33" s="10">
        <v>1</v>
      </c>
      <c r="L33">
        <v>0</v>
      </c>
      <c r="M33" s="10">
        <v>374</v>
      </c>
      <c r="N33">
        <f t="shared" si="0"/>
        <v>374</v>
      </c>
      <c r="P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Row],[orderNum]],ТабПозиции[orderSumm])&gt;1500),ABS(N33*VLOOKUP(ТабПозиции[[#This Row],[orderNum]],ТабЗаказы[#Data],MATCH("Percent",ТабЗаказы[#Headers],0),0))/100,200/COUNTIF(ТабПозиции[orderNum],ТабПозиции[[#This Row],[orderNum]])),0),"")</f>
        <v>56</v>
      </c>
      <c r="Q33">
        <f>IF(OR(ТабПозиции[[#This Row],[item]]="По штрихкоду",ТабПозиции[[#This Row],[item]]="Посылка"),ТабПозиции[[#This Row],[deliverySumm]]+ТабПозиции[[#This Row],[deliveryPost]],SUM(N33:P33))</f>
        <v>430</v>
      </c>
      <c r="R33" s="41">
        <v>430</v>
      </c>
      <c r="S33" s="46">
        <f>ТабПозиции[[#This Row],[totalSumm]]-ТабПозиции[[#This Row],[payment]]</f>
        <v>0</v>
      </c>
      <c r="T33" s="10" t="s">
        <v>563</v>
      </c>
      <c r="U33" s="40" t="s">
        <v>545</v>
      </c>
      <c r="V33" s="40" t="s">
        <v>545</v>
      </c>
      <c r="W33" s="40" t="s">
        <v>545</v>
      </c>
      <c r="X33"/>
      <c r="Y33"/>
    </row>
    <row r="34" spans="1:25" hidden="1" x14ac:dyDescent="0.25">
      <c r="A34" s="10">
        <v>9</v>
      </c>
      <c r="B34" s="1">
        <f>IFERROR(VLOOKUP(ТабПозиции[[#This Row],[orderNum]],ТабЗаказы[#Data],MATCH(B$7,ТабЗаказы[#Headers],0),0),"")</f>
        <v>45367</v>
      </c>
      <c r="C34" t="str">
        <f>MONTH(ТабПозиции[[#This Row],[date]])&amp;"/"&amp;YEAR(ТабПозиции[[#This Row],[date]])</f>
        <v>3/2024</v>
      </c>
      <c r="D34" s="1" t="str">
        <f>IFERROR(VLOOKUP(ТабПозиции[[#This Row],[orderNum]],ТабЗаказы[#Data],MATCH(D$7,ТабЗаказы[#Headers],0),0),"")</f>
        <v/>
      </c>
      <c r="E34" s="1" t="str">
        <f>IFERROR(VLOOKUP(ТабПозиции[[#This Row],[orderNum]],ТабЗаказы[#Data],MATCH(E$7,ТабЗаказы[#Headers],0),0),"")</f>
        <v/>
      </c>
      <c r="F34" s="16" t="s">
        <v>576</v>
      </c>
      <c r="G34" s="40" t="s">
        <v>545</v>
      </c>
      <c r="H34" s="17"/>
      <c r="I34" s="18">
        <v>45369</v>
      </c>
      <c r="J34" s="10">
        <v>1</v>
      </c>
      <c r="L34">
        <v>0</v>
      </c>
      <c r="M34" s="10">
        <v>88</v>
      </c>
      <c r="N34">
        <f t="shared" si="0"/>
        <v>88</v>
      </c>
      <c r="P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Row],[orderNum]],ТабПозиции[orderSumm])&gt;1500),ABS(N34*VLOOKUP(ТабПозиции[[#This Row],[orderNum]],ТабЗаказы[#Data],MATCH("Percent",ТабЗаказы[#Headers],0),0))/100,200/COUNTIF(ТабПозиции[orderNum],ТабПозиции[[#This Row],[orderNum]])),0),"")</f>
        <v>13</v>
      </c>
      <c r="Q34">
        <f>IF(OR(ТабПозиции[[#This Row],[item]]="По штрихкоду",ТабПозиции[[#This Row],[item]]="Посылка"),ТабПозиции[[#This Row],[deliverySumm]]+ТабПозиции[[#This Row],[deliveryPost]],SUM(N34:P34))</f>
        <v>101</v>
      </c>
      <c r="R34" s="41">
        <v>101</v>
      </c>
      <c r="S34" s="46">
        <f>ТабПозиции[[#This Row],[totalSumm]]-ТабПозиции[[#This Row],[payment]]</f>
        <v>0</v>
      </c>
      <c r="T34" s="10" t="s">
        <v>563</v>
      </c>
      <c r="U34" s="40" t="s">
        <v>545</v>
      </c>
      <c r="V34" s="40" t="s">
        <v>545</v>
      </c>
      <c r="W34" s="40" t="s">
        <v>545</v>
      </c>
      <c r="X34"/>
      <c r="Y34"/>
    </row>
    <row r="35" spans="1:25" hidden="1" x14ac:dyDescent="0.25">
      <c r="A35" s="10">
        <v>9</v>
      </c>
      <c r="B35" s="1">
        <f>IFERROR(VLOOKUP(ТабПозиции[[#This Row],[orderNum]],ТабЗаказы[#Data],MATCH(B$7,ТабЗаказы[#Headers],0),0),"")</f>
        <v>45367</v>
      </c>
      <c r="C35" t="str">
        <f>MONTH(ТабПозиции[[#This Row],[date]])&amp;"/"&amp;YEAR(ТабПозиции[[#This Row],[date]])</f>
        <v>3/2024</v>
      </c>
      <c r="D35" s="1" t="str">
        <f>IFERROR(VLOOKUP(ТабПозиции[[#This Row],[orderNum]],ТабЗаказы[#Data],MATCH(D$7,ТабЗаказы[#Headers],0),0),"")</f>
        <v/>
      </c>
      <c r="E35" s="1" t="str">
        <f>IFERROR(VLOOKUP(ТабПозиции[[#This Row],[orderNum]],ТабЗаказы[#Data],MATCH(E$7,ТабЗаказы[#Headers],0),0),"")</f>
        <v/>
      </c>
      <c r="F35" s="16" t="s">
        <v>577</v>
      </c>
      <c r="G35" s="40" t="s">
        <v>545</v>
      </c>
      <c r="H35" s="17"/>
      <c r="I35" s="18">
        <v>45369</v>
      </c>
      <c r="J35" s="10">
        <v>1</v>
      </c>
      <c r="L35">
        <v>0</v>
      </c>
      <c r="M35" s="10">
        <v>159</v>
      </c>
      <c r="N35">
        <f t="shared" si="0"/>
        <v>159</v>
      </c>
      <c r="P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Row],[orderNum]],ТабПозиции[orderSumm])&gt;1500),ABS(N35*VLOOKUP(ТабПозиции[[#This Row],[orderNum]],ТабЗаказы[#Data],MATCH("Percent",ТабЗаказы[#Headers],0),0))/100,200/COUNTIF(ТабПозиции[orderNum],ТабПозиции[[#This Row],[orderNum]])),0),"")</f>
        <v>24</v>
      </c>
      <c r="Q35">
        <f>IF(OR(ТабПозиции[[#This Row],[item]]="По штрихкоду",ТабПозиции[[#This Row],[item]]="Посылка"),ТабПозиции[[#This Row],[deliverySumm]]+ТабПозиции[[#This Row],[deliveryPost]],SUM(N35:P35))</f>
        <v>183</v>
      </c>
      <c r="R35" s="41">
        <v>183</v>
      </c>
      <c r="S35" s="46">
        <f>ТабПозиции[[#This Row],[totalSumm]]-ТабПозиции[[#This Row],[payment]]</f>
        <v>0</v>
      </c>
      <c r="T35" s="10" t="s">
        <v>563</v>
      </c>
      <c r="U35" s="40" t="s">
        <v>545</v>
      </c>
      <c r="V35" s="40" t="s">
        <v>545</v>
      </c>
      <c r="W35" s="40" t="s">
        <v>545</v>
      </c>
      <c r="X35"/>
      <c r="Y35"/>
    </row>
    <row r="36" spans="1:25" hidden="1" x14ac:dyDescent="0.25">
      <c r="A36" s="10">
        <v>9</v>
      </c>
      <c r="B36" s="1">
        <f>IFERROR(VLOOKUP(ТабПозиции[[#This Row],[orderNum]],ТабЗаказы[#Data],MATCH(B$7,ТабЗаказы[#Headers],0),0),"")</f>
        <v>45367</v>
      </c>
      <c r="C36" t="str">
        <f>MONTH(ТабПозиции[[#This Row],[date]])&amp;"/"&amp;YEAR(ТабПозиции[[#This Row],[date]])</f>
        <v>3/2024</v>
      </c>
      <c r="D36" s="1" t="str">
        <f>IFERROR(VLOOKUP(ТабПозиции[[#This Row],[orderNum]],ТабЗаказы[#Data],MATCH(D$7,ТабЗаказы[#Headers],0),0),"")</f>
        <v/>
      </c>
      <c r="E36" s="1" t="str">
        <f>IFERROR(VLOOKUP(ТабПозиции[[#This Row],[orderNum]],ТабЗаказы[#Data],MATCH(E$7,ТабЗаказы[#Headers],0),0),"")</f>
        <v/>
      </c>
      <c r="F36" s="16" t="s">
        <v>578</v>
      </c>
      <c r="G36" s="40" t="s">
        <v>545</v>
      </c>
      <c r="H36" s="17"/>
      <c r="I36" s="18">
        <v>45370</v>
      </c>
      <c r="J36" s="10">
        <v>1</v>
      </c>
      <c r="L36">
        <v>0</v>
      </c>
      <c r="M36" s="10">
        <v>409</v>
      </c>
      <c r="N36">
        <f t="shared" si="0"/>
        <v>409</v>
      </c>
      <c r="P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Row],[orderNum]],ТабПозиции[orderSumm])&gt;1500),ABS(N36*VLOOKUP(ТабПозиции[[#This Row],[orderNum]],ТабЗаказы[#Data],MATCH("Percent",ТабЗаказы[#Headers],0),0))/100,200/COUNTIF(ТабПозиции[orderNum],ТабПозиции[[#This Row],[orderNum]])),0),"")</f>
        <v>61</v>
      </c>
      <c r="Q36">
        <f>IF(OR(ТабПозиции[[#This Row],[item]]="По штрихкоду",ТабПозиции[[#This Row],[item]]="Посылка"),ТабПозиции[[#This Row],[deliverySumm]]+ТабПозиции[[#This Row],[deliveryPost]],SUM(N36:P36))</f>
        <v>470</v>
      </c>
      <c r="R36" s="41">
        <v>470</v>
      </c>
      <c r="S36" s="46">
        <f>ТабПозиции[[#This Row],[totalSumm]]-ТабПозиции[[#This Row],[payment]]</f>
        <v>0</v>
      </c>
      <c r="T36" s="10" t="s">
        <v>563</v>
      </c>
      <c r="U36" s="40" t="s">
        <v>545</v>
      </c>
      <c r="V36" s="40" t="s">
        <v>545</v>
      </c>
      <c r="W36" s="40" t="s">
        <v>545</v>
      </c>
      <c r="X36"/>
      <c r="Y36"/>
    </row>
    <row r="37" spans="1:25" hidden="1" x14ac:dyDescent="0.25">
      <c r="A37" s="10">
        <v>9</v>
      </c>
      <c r="B37" s="1">
        <f>IFERROR(VLOOKUP(ТабПозиции[[#This Row],[orderNum]],ТабЗаказы[#Data],MATCH(B$7,ТабЗаказы[#Headers],0),0),"")</f>
        <v>45367</v>
      </c>
      <c r="C37" t="str">
        <f>MONTH(ТабПозиции[[#This Row],[date]])&amp;"/"&amp;YEAR(ТабПозиции[[#This Row],[date]])</f>
        <v>3/2024</v>
      </c>
      <c r="D37" s="1" t="str">
        <f>IFERROR(VLOOKUP(ТабПозиции[[#This Row],[orderNum]],ТабЗаказы[#Data],MATCH(D$7,ТабЗаказы[#Headers],0),0),"")</f>
        <v/>
      </c>
      <c r="E37" s="1" t="str">
        <f>IFERROR(VLOOKUP(ТабПозиции[[#This Row],[orderNum]],ТабЗаказы[#Data],MATCH(E$7,ТабЗаказы[#Headers],0),0),"")</f>
        <v/>
      </c>
      <c r="F37" s="16" t="s">
        <v>579</v>
      </c>
      <c r="G37" s="40" t="s">
        <v>545</v>
      </c>
      <c r="H37" s="17"/>
      <c r="I37" s="18">
        <v>45368</v>
      </c>
      <c r="J37" s="10">
        <v>1</v>
      </c>
      <c r="L37">
        <v>0</v>
      </c>
      <c r="M37" s="10">
        <v>310</v>
      </c>
      <c r="N37">
        <f t="shared" si="0"/>
        <v>310</v>
      </c>
      <c r="P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Row],[orderNum]],ТабПозиции[orderSumm])&gt;1500),ABS(N37*VLOOKUP(ТабПозиции[[#This Row],[orderNum]],ТабЗаказы[#Data],MATCH("Percent",ТабЗаказы[#Headers],0),0))/100,200/COUNTIF(ТабПозиции[orderNum],ТабПозиции[[#This Row],[orderNum]])),0),"")</f>
        <v>47</v>
      </c>
      <c r="Q37">
        <f>IF(OR(ТабПозиции[[#This Row],[item]]="По штрихкоду",ТабПозиции[[#This Row],[item]]="Посылка"),ТабПозиции[[#This Row],[deliverySumm]]+ТабПозиции[[#This Row],[deliveryPost]],SUM(N37:P37))</f>
        <v>357</v>
      </c>
      <c r="R37" s="41">
        <v>357</v>
      </c>
      <c r="S37" s="46">
        <f>ТабПозиции[[#This Row],[totalSumm]]-ТабПозиции[[#This Row],[payment]]</f>
        <v>0</v>
      </c>
      <c r="T37" s="10" t="s">
        <v>580</v>
      </c>
      <c r="U37" s="40" t="s">
        <v>545</v>
      </c>
      <c r="V37" s="40" t="s">
        <v>545</v>
      </c>
      <c r="W37" s="40" t="s">
        <v>545</v>
      </c>
      <c r="X37"/>
      <c r="Y37"/>
    </row>
    <row r="38" spans="1:25" hidden="1" x14ac:dyDescent="0.25">
      <c r="A38" s="10">
        <v>9</v>
      </c>
      <c r="B38" s="1">
        <f>IFERROR(VLOOKUP(ТабПозиции[[#This Row],[orderNum]],ТабЗаказы[#Data],MATCH(B$7,ТабЗаказы[#Headers],0),0),"")</f>
        <v>45367</v>
      </c>
      <c r="C38" t="str">
        <f>MONTH(ТабПозиции[[#This Row],[date]])&amp;"/"&amp;YEAR(ТабПозиции[[#This Row],[date]])</f>
        <v>3/2024</v>
      </c>
      <c r="D38" s="1" t="str">
        <f>IFERROR(VLOOKUP(ТабПозиции[[#This Row],[orderNum]],ТабЗаказы[#Data],MATCH(D$7,ТабЗаказы[#Headers],0),0),"")</f>
        <v/>
      </c>
      <c r="E38" s="1" t="str">
        <f>IFERROR(VLOOKUP(ТабПозиции[[#This Row],[orderNum]],ТабЗаказы[#Data],MATCH(E$7,ТабЗаказы[#Headers],0),0),"")</f>
        <v/>
      </c>
      <c r="F38" s="16" t="s">
        <v>581</v>
      </c>
      <c r="G38" s="40" t="s">
        <v>545</v>
      </c>
      <c r="H38" s="17"/>
      <c r="I38" s="18">
        <v>45369</v>
      </c>
      <c r="J38" s="10">
        <v>1</v>
      </c>
      <c r="L38">
        <v>0</v>
      </c>
      <c r="M38" s="10">
        <v>264</v>
      </c>
      <c r="N38">
        <f t="shared" si="0"/>
        <v>264</v>
      </c>
      <c r="P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Row],[orderNum]],ТабПозиции[orderSumm])&gt;1500),ABS(N38*VLOOKUP(ТабПозиции[[#This Row],[orderNum]],ТабЗаказы[#Data],MATCH("Percent",ТабЗаказы[#Headers],0),0))/100,200/COUNTIF(ТабПозиции[orderNum],ТабПозиции[[#This Row],[orderNum]])),0),"")</f>
        <v>40</v>
      </c>
      <c r="Q38">
        <f>IF(OR(ТабПозиции[[#This Row],[item]]="По штрихкоду",ТабПозиции[[#This Row],[item]]="Посылка"),ТабПозиции[[#This Row],[deliverySumm]]+ТабПозиции[[#This Row],[deliveryPost]],SUM(N38:P38))</f>
        <v>304</v>
      </c>
      <c r="R38" s="41">
        <v>304</v>
      </c>
      <c r="S38" s="46">
        <f>ТабПозиции[[#This Row],[totalSumm]]-ТабПозиции[[#This Row],[payment]]</f>
        <v>0</v>
      </c>
      <c r="T38" s="10" t="s">
        <v>580</v>
      </c>
      <c r="U38" s="40" t="s">
        <v>545</v>
      </c>
      <c r="V38" s="40" t="s">
        <v>545</v>
      </c>
      <c r="W38" s="40" t="s">
        <v>545</v>
      </c>
      <c r="X38"/>
      <c r="Y38"/>
    </row>
    <row r="39" spans="1:25" hidden="1" x14ac:dyDescent="0.25">
      <c r="A39" s="10">
        <v>10</v>
      </c>
      <c r="B39" s="1">
        <f>IFERROR(VLOOKUP(ТабПозиции[[#This Row],[orderNum]],ТабЗаказы[#Data],MATCH(B$7,ТабЗаказы[#Headers],0),0),"")</f>
        <v>45368</v>
      </c>
      <c r="C39" t="str">
        <f>MONTH(ТабПозиции[[#This Row],[date]])&amp;"/"&amp;YEAR(ТабПозиции[[#This Row],[date]])</f>
        <v>3/2024</v>
      </c>
      <c r="D39" s="1" t="str">
        <f>IFERROR(VLOOKUP(ТабПозиции[[#This Row],[orderNum]],ТабЗаказы[#Data],MATCH(D$7,ТабЗаказы[#Headers],0),0),"")</f>
        <v/>
      </c>
      <c r="E39" s="1" t="str">
        <f>IFERROR(VLOOKUP(ТабПозиции[[#This Row],[orderNum]],ТабЗаказы[#Data],MATCH(E$7,ТабЗаказы[#Headers],0),0),"")</f>
        <v/>
      </c>
      <c r="F39" s="19" t="s">
        <v>582</v>
      </c>
      <c r="G39" s="40" t="s">
        <v>545</v>
      </c>
      <c r="H39" s="20"/>
      <c r="I39" s="18">
        <v>45369</v>
      </c>
      <c r="J39" s="10">
        <v>1</v>
      </c>
      <c r="L39">
        <v>0</v>
      </c>
      <c r="M39" s="10">
        <v>2189</v>
      </c>
      <c r="N39">
        <f t="shared" si="0"/>
        <v>2189</v>
      </c>
      <c r="P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Row],[orderNum]],ТабПозиции[orderSumm])&gt;1500),ABS(N39*VLOOKUP(ТабПозиции[[#This Row],[orderNum]],ТабЗаказы[#Data],MATCH("Percent",ТабЗаказы[#Headers],0),0))/100,200/COUNTIF(ТабПозиции[orderNum],ТабПозиции[[#This Row],[orderNum]])),0),"")</f>
        <v>328</v>
      </c>
      <c r="Q39">
        <f>IF(OR(ТабПозиции[[#This Row],[item]]="По штрихкоду",ТабПозиции[[#This Row],[item]]="Посылка"),ТабПозиции[[#This Row],[deliverySumm]]+ТабПозиции[[#This Row],[deliveryPost]],SUM(N39:P39))</f>
        <v>2517</v>
      </c>
      <c r="R39" s="41">
        <v>2517</v>
      </c>
      <c r="S39" s="46">
        <f>ТабПозиции[[#This Row],[totalSumm]]-ТабПозиции[[#This Row],[payment]]</f>
        <v>0</v>
      </c>
      <c r="T39" s="10" t="s">
        <v>563</v>
      </c>
      <c r="U39" s="40" t="s">
        <v>545</v>
      </c>
      <c r="V39" s="40" t="s">
        <v>545</v>
      </c>
      <c r="W39" s="40" t="s">
        <v>545</v>
      </c>
      <c r="X39"/>
      <c r="Y39"/>
    </row>
    <row r="40" spans="1:25" hidden="1" x14ac:dyDescent="0.25">
      <c r="A40" s="10">
        <v>11</v>
      </c>
      <c r="B40" s="1">
        <f>IFERROR(VLOOKUP(ТабПозиции[[#This Row],[orderNum]],ТабЗаказы[#Data],MATCH(B$7,ТабЗаказы[#Headers],0),0),"")</f>
        <v>45368</v>
      </c>
      <c r="C40" t="str">
        <f>MONTH(ТабПозиции[[#This Row],[date]])&amp;"/"&amp;YEAR(ТабПозиции[[#This Row],[date]])</f>
        <v>3/2024</v>
      </c>
      <c r="D40" s="1" t="str">
        <f>IFERROR(VLOOKUP(ТабПозиции[[#This Row],[orderNum]],ТабЗаказы[#Data],MATCH(D$7,ТабЗаказы[#Headers],0),0),"")</f>
        <v/>
      </c>
      <c r="E40" s="1" t="str">
        <f>IFERROR(VLOOKUP(ТабПозиции[[#This Row],[orderNum]],ТабЗаказы[#Data],MATCH(E$7,ТабЗаказы[#Headers],0),0),"")</f>
        <v/>
      </c>
      <c r="F40" s="10" t="s">
        <v>583</v>
      </c>
      <c r="G40" s="40" t="s">
        <v>545</v>
      </c>
      <c r="I40" s="18">
        <v>45374</v>
      </c>
      <c r="J40" s="10">
        <v>1</v>
      </c>
      <c r="L40">
        <v>0</v>
      </c>
      <c r="M40" s="10">
        <v>1301</v>
      </c>
      <c r="N40">
        <f t="shared" si="0"/>
        <v>1301</v>
      </c>
      <c r="P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40">
        <f>IF(OR(ТабПозиции[[#This Row],[item]]="По штрихкоду",ТабПозиции[[#This Row],[item]]="Посылка"),ТабПозиции[[#This Row],[deliverySumm]]+ТабПозиции[[#This Row],[deliveryPost]],SUM(N40:P40))</f>
        <v>1501</v>
      </c>
      <c r="R40" s="41">
        <v>1501</v>
      </c>
      <c r="S40" s="46">
        <f>ТабПозиции[[#This Row],[totalSumm]]-ТабПозиции[[#This Row],[payment]]</f>
        <v>0</v>
      </c>
      <c r="T40" s="10" t="s">
        <v>584</v>
      </c>
      <c r="U40" s="40" t="s">
        <v>545</v>
      </c>
      <c r="V40" s="40" t="s">
        <v>545</v>
      </c>
      <c r="W40" s="40" t="s">
        <v>545</v>
      </c>
      <c r="X40"/>
      <c r="Y40"/>
    </row>
    <row r="41" spans="1:25" hidden="1" x14ac:dyDescent="0.25">
      <c r="A41" s="10">
        <v>12</v>
      </c>
      <c r="B41" s="1">
        <f>IFERROR(VLOOKUP(ТабПозиции[[#This Row],[orderNum]],ТабЗаказы[#Data],MATCH(B$7,ТабЗаказы[#Headers],0),0),"")</f>
        <v>45368</v>
      </c>
      <c r="C41" t="str">
        <f>MONTH(ТабПозиции[[#This Row],[date]])&amp;"/"&amp;YEAR(ТабПозиции[[#This Row],[date]])</f>
        <v>3/2024</v>
      </c>
      <c r="D41" s="1" t="str">
        <f>IFERROR(VLOOKUP(ТабПозиции[[#This Row],[orderNum]],ТабЗаказы[#Data],MATCH(D$7,ТабЗаказы[#Headers],0),0),"")</f>
        <v/>
      </c>
      <c r="E41" s="1" t="str">
        <f>IFERROR(VLOOKUP(ТабПозиции[[#This Row],[orderNum]],ТабЗаказы[#Data],MATCH(E$7,ТабЗаказы[#Headers],0),0),"")</f>
        <v/>
      </c>
      <c r="F41" s="16" t="s">
        <v>585</v>
      </c>
      <c r="G41" s="40" t="s">
        <v>545</v>
      </c>
      <c r="H41" s="17"/>
      <c r="I41" s="18">
        <v>45374</v>
      </c>
      <c r="J41" s="10">
        <v>1</v>
      </c>
      <c r="L41">
        <v>0</v>
      </c>
      <c r="M41" s="10">
        <v>1477</v>
      </c>
      <c r="N41">
        <f t="shared" si="0"/>
        <v>1477</v>
      </c>
      <c r="P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Row],[orderNum]],ТабПозиции[orderSumm])&gt;1500),ABS(N41*VLOOKUP(ТабПозиции[[#This Row],[orderNum]],ТабЗаказы[#Data],MATCH("Percent",ТабЗаказы[#Headers],0),0))/100,200/COUNTIF(ТабПозиции[orderNum],ТабПозиции[[#This Row],[orderNum]])),0),"")</f>
        <v>222</v>
      </c>
      <c r="Q41">
        <f>IF(OR(ТабПозиции[[#This Row],[item]]="По штрихкоду",ТабПозиции[[#This Row],[item]]="Посылка"),ТабПозиции[[#This Row],[deliverySumm]]+ТабПозиции[[#This Row],[deliveryPost]],SUM(N41:P41))</f>
        <v>1699</v>
      </c>
      <c r="R41" s="41">
        <v>1699</v>
      </c>
      <c r="S41" s="46">
        <f>ТабПозиции[[#This Row],[totalSumm]]-ТабПозиции[[#This Row],[payment]]</f>
        <v>0</v>
      </c>
      <c r="T41" s="10" t="s">
        <v>580</v>
      </c>
      <c r="U41" s="40" t="s">
        <v>545</v>
      </c>
      <c r="V41" s="40" t="s">
        <v>545</v>
      </c>
      <c r="W41" s="40" t="s">
        <v>545</v>
      </c>
      <c r="X41"/>
      <c r="Y41"/>
    </row>
    <row r="42" spans="1:25" hidden="1" x14ac:dyDescent="0.25">
      <c r="A42" s="10">
        <v>13</v>
      </c>
      <c r="B42" s="1">
        <f>IFERROR(VLOOKUP(ТабПозиции[[#This Row],[orderNum]],ТабЗаказы[#Data],MATCH(B$7,ТабЗаказы[#Headers],0),0),"")</f>
        <v>45369</v>
      </c>
      <c r="C42" t="str">
        <f>MONTH(ТабПозиции[[#This Row],[date]])&amp;"/"&amp;YEAR(ТабПозиции[[#This Row],[date]])</f>
        <v>3/2024</v>
      </c>
      <c r="D42" s="1" t="str">
        <f>IFERROR(VLOOKUP(ТабПозиции[[#This Row],[orderNum]],ТабЗаказы[#Data],MATCH(D$7,ТабЗаказы[#Headers],0),0),"")</f>
        <v/>
      </c>
      <c r="E42" s="1" t="str">
        <f>IFERROR(VLOOKUP(ТабПозиции[[#This Row],[orderNum]],ТабЗаказы[#Data],MATCH(E$7,ТабЗаказы[#Headers],0),0),"")</f>
        <v/>
      </c>
      <c r="F42" s="16" t="s">
        <v>586</v>
      </c>
      <c r="G42" s="40" t="s">
        <v>545</v>
      </c>
      <c r="H42" s="17"/>
      <c r="I42" s="18">
        <v>45373</v>
      </c>
      <c r="J42" s="10">
        <v>1</v>
      </c>
      <c r="L42">
        <v>0</v>
      </c>
      <c r="M42" s="10">
        <v>29654</v>
      </c>
      <c r="N42">
        <f t="shared" si="0"/>
        <v>29654</v>
      </c>
      <c r="O42" s="10">
        <v>1483</v>
      </c>
      <c r="P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Row],[orderNum]],ТабПозиции[orderSumm])&gt;1500),ABS(N42*VLOOKUP(ТабПозиции[[#This Row],[orderNum]],ТабЗаказы[#Data],MATCH("Percent",ТабЗаказы[#Headers],0),0))/100,200/COUNTIF(ТабПозиции[orderNum],ТабПозиции[[#This Row],[orderNum]])),0),"")</f>
        <v>2965</v>
      </c>
      <c r="Q42">
        <f>IF(OR(ТабПозиции[[#This Row],[item]]="По штрихкоду",ТабПозиции[[#This Row],[item]]="Посылка"),ТабПозиции[[#This Row],[deliverySumm]]+ТабПозиции[[#This Row],[deliveryPost]],SUM(N42:P42))</f>
        <v>34102</v>
      </c>
      <c r="R42" s="41">
        <v>34102</v>
      </c>
      <c r="S42" s="46">
        <f>ТабПозиции[[#This Row],[totalSumm]]-ТабПозиции[[#This Row],[payment]]</f>
        <v>0</v>
      </c>
      <c r="T42" s="10" t="s">
        <v>580</v>
      </c>
      <c r="U42" s="40" t="s">
        <v>545</v>
      </c>
      <c r="V42" s="40" t="s">
        <v>545</v>
      </c>
      <c r="W42" s="40" t="s">
        <v>545</v>
      </c>
      <c r="X42"/>
      <c r="Y42"/>
    </row>
    <row r="43" spans="1:25" hidden="1" x14ac:dyDescent="0.25">
      <c r="A43" s="10">
        <v>13</v>
      </c>
      <c r="B43" s="1">
        <f>IFERROR(VLOOKUP(ТабПозиции[[#This Row],[orderNum]],ТабЗаказы[#Data],MATCH(B$7,ТабЗаказы[#Headers],0),0),"")</f>
        <v>45369</v>
      </c>
      <c r="C43" t="str">
        <f>MONTH(ТабПозиции[[#This Row],[date]])&amp;"/"&amp;YEAR(ТабПозиции[[#This Row],[date]])</f>
        <v>3/2024</v>
      </c>
      <c r="D43" s="1" t="str">
        <f>IFERROR(VLOOKUP(ТабПозиции[[#This Row],[orderNum]],ТабЗаказы[#Data],MATCH(D$7,ТабЗаказы[#Headers],0),0),"")</f>
        <v/>
      </c>
      <c r="E43" s="1" t="str">
        <f>IFERROR(VLOOKUP(ТабПозиции[[#This Row],[orderNum]],ТабЗаказы[#Data],MATCH(E$7,ТабЗаказы[#Headers],0),0),"")</f>
        <v/>
      </c>
      <c r="F43" s="16" t="s">
        <v>587</v>
      </c>
      <c r="G43" s="40" t="s">
        <v>545</v>
      </c>
      <c r="H43" s="17"/>
      <c r="I43" s="18">
        <v>45375</v>
      </c>
      <c r="J43" s="10">
        <v>1</v>
      </c>
      <c r="L43">
        <v>0</v>
      </c>
      <c r="M43" s="10">
        <v>307</v>
      </c>
      <c r="N43">
        <f t="shared" si="0"/>
        <v>307</v>
      </c>
      <c r="P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Row],[orderNum]],ТабПозиции[orderSumm])&gt;1500),ABS(N43*VLOOKUP(ТабПозиции[[#This Row],[orderNum]],ТабЗаказы[#Data],MATCH("Percent",ТабЗаказы[#Headers],0),0))/100,200/COUNTIF(ТабПозиции[orderNum],ТабПозиции[[#This Row],[orderNum]])),0),"")</f>
        <v>31</v>
      </c>
      <c r="Q43">
        <f>IF(OR(ТабПозиции[[#This Row],[item]]="По штрихкоду",ТабПозиции[[#This Row],[item]]="Посылка"),ТабПозиции[[#This Row],[deliverySumm]]+ТабПозиции[[#This Row],[deliveryPost]],SUM(N43:P43))</f>
        <v>338</v>
      </c>
      <c r="R43" s="41">
        <v>338</v>
      </c>
      <c r="S43" s="46">
        <f>ТабПозиции[[#This Row],[totalSumm]]-ТабПозиции[[#This Row],[payment]]</f>
        <v>0</v>
      </c>
      <c r="T43" s="10" t="s">
        <v>580</v>
      </c>
      <c r="U43" s="40" t="s">
        <v>545</v>
      </c>
      <c r="V43" s="40" t="s">
        <v>545</v>
      </c>
      <c r="W43" s="40" t="s">
        <v>552</v>
      </c>
      <c r="X43"/>
      <c r="Y43"/>
    </row>
    <row r="44" spans="1:25" hidden="1" x14ac:dyDescent="0.25">
      <c r="A44" s="10">
        <v>14</v>
      </c>
      <c r="B44" s="1">
        <f>IFERROR(VLOOKUP(ТабПозиции[[#This Row],[orderNum]],ТабЗаказы[#Data],MATCH(B$7,ТабЗаказы[#Headers],0),0),"")</f>
        <v>45369</v>
      </c>
      <c r="C44" t="str">
        <f>MONTH(ТабПозиции[[#This Row],[date]])&amp;"/"&amp;YEAR(ТабПозиции[[#This Row],[date]])</f>
        <v>3/2024</v>
      </c>
      <c r="D44" s="1" t="str">
        <f>IFERROR(VLOOKUP(ТабПозиции[[#This Row],[orderNum]],ТабЗаказы[#Data],MATCH(D$7,ТабЗаказы[#Headers],0),0),"")</f>
        <v/>
      </c>
      <c r="E44" s="1" t="str">
        <f>IFERROR(VLOOKUP(ТабПозиции[[#This Row],[orderNum]],ТабЗаказы[#Data],MATCH(E$7,ТабЗаказы[#Headers],0),0),"")</f>
        <v/>
      </c>
      <c r="F44" s="16" t="s">
        <v>588</v>
      </c>
      <c r="G44" s="40" t="s">
        <v>545</v>
      </c>
      <c r="H44" s="17"/>
      <c r="I44" s="18">
        <v>45371</v>
      </c>
      <c r="J44" s="10">
        <v>1</v>
      </c>
      <c r="L44">
        <v>0</v>
      </c>
      <c r="M44" s="10">
        <v>425</v>
      </c>
      <c r="N44">
        <f t="shared" si="0"/>
        <v>425</v>
      </c>
      <c r="P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44">
        <f>IF(OR(ТабПозиции[[#This Row],[item]]="По штрихкоду",ТабПозиции[[#This Row],[item]]="Посылка"),ТабПозиции[[#This Row],[deliverySumm]]+ТабПозиции[[#This Row],[deliveryPost]],SUM(N44:P44))</f>
        <v>625</v>
      </c>
      <c r="R44" s="41">
        <v>625</v>
      </c>
      <c r="S44" s="46">
        <f>ТабПозиции[[#This Row],[totalSumm]]-ТабПозиции[[#This Row],[payment]]</f>
        <v>0</v>
      </c>
      <c r="T44" s="10" t="s">
        <v>580</v>
      </c>
      <c r="U44" s="40" t="s">
        <v>545</v>
      </c>
      <c r="V44" s="40" t="s">
        <v>545</v>
      </c>
      <c r="W44" s="40" t="s">
        <v>545</v>
      </c>
      <c r="X44"/>
      <c r="Y44"/>
    </row>
    <row r="45" spans="1:25" hidden="1" x14ac:dyDescent="0.25">
      <c r="A45" s="10">
        <v>15</v>
      </c>
      <c r="B45" s="1">
        <f>IFERROR(VLOOKUP(ТабПозиции[[#This Row],[orderNum]],ТабЗаказы[#Data],MATCH(B$7,ТабЗаказы[#Headers],0),0),"")</f>
        <v>45370</v>
      </c>
      <c r="C45" t="str">
        <f>MONTH(ТабПозиции[[#This Row],[date]])&amp;"/"&amp;YEAR(ТабПозиции[[#This Row],[date]])</f>
        <v>3/2024</v>
      </c>
      <c r="D45" s="1" t="str">
        <f>IFERROR(VLOOKUP(ТабПозиции[[#This Row],[orderNum]],ТабЗаказы[#Data],MATCH(D$7,ТабЗаказы[#Headers],0),0),"")</f>
        <v/>
      </c>
      <c r="E45" s="1" t="str">
        <f>IFERROR(VLOOKUP(ТабПозиции[[#This Row],[orderNum]],ТабЗаказы[#Data],MATCH(E$7,ТабЗаказы[#Headers],0),0),"")</f>
        <v/>
      </c>
      <c r="F45" s="16" t="s">
        <v>589</v>
      </c>
      <c r="G45" s="40" t="s">
        <v>545</v>
      </c>
      <c r="H45" s="17"/>
      <c r="I45" s="18">
        <v>45372</v>
      </c>
      <c r="J45" s="10">
        <v>1</v>
      </c>
      <c r="L45">
        <v>0</v>
      </c>
      <c r="M45" s="10">
        <v>229</v>
      </c>
      <c r="N45">
        <f t="shared" si="0"/>
        <v>229</v>
      </c>
      <c r="P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Row],[orderNum]],ТабПозиции[orderSumm])&gt;1500),ABS(N45*VLOOKUP(ТабПозиции[[#This Row],[orderNum]],ТабЗаказы[#Data],MATCH("Percent",ТабЗаказы[#Headers],0),0))/100,200/COUNTIF(ТабПозиции[orderNum],ТабПозиции[[#This Row],[orderNum]])),0),"")</f>
        <v>34</v>
      </c>
      <c r="Q45">
        <f>IF(OR(ТабПозиции[[#This Row],[item]]="По штрихкоду",ТабПозиции[[#This Row],[item]]="Посылка"),ТабПозиции[[#This Row],[deliverySumm]]+ТабПозиции[[#This Row],[deliveryPost]],SUM(N45:P45))</f>
        <v>263</v>
      </c>
      <c r="R45" s="41">
        <v>263</v>
      </c>
      <c r="S45" s="46">
        <f>ТабПозиции[[#This Row],[totalSumm]]-ТабПозиции[[#This Row],[payment]]</f>
        <v>0</v>
      </c>
      <c r="T45" s="10" t="s">
        <v>580</v>
      </c>
      <c r="U45" s="40" t="s">
        <v>545</v>
      </c>
      <c r="V45" s="40" t="s">
        <v>545</v>
      </c>
      <c r="W45" s="40" t="s">
        <v>545</v>
      </c>
      <c r="X45"/>
      <c r="Y45"/>
    </row>
    <row r="46" spans="1:25" hidden="1" x14ac:dyDescent="0.25">
      <c r="A46" s="10">
        <v>15</v>
      </c>
      <c r="B46" s="1">
        <f>IFERROR(VLOOKUP(ТабПозиции[[#This Row],[orderNum]],ТабЗаказы[#Data],MATCH(B$7,ТабЗаказы[#Headers],0),0),"")</f>
        <v>45370</v>
      </c>
      <c r="C46" t="str">
        <f>MONTH(ТабПозиции[[#This Row],[date]])&amp;"/"&amp;YEAR(ТабПозиции[[#This Row],[date]])</f>
        <v>3/2024</v>
      </c>
      <c r="D46" s="1" t="str">
        <f>IFERROR(VLOOKUP(ТабПозиции[[#This Row],[orderNum]],ТабЗаказы[#Data],MATCH(D$7,ТабЗаказы[#Headers],0),0),"")</f>
        <v/>
      </c>
      <c r="E46" s="1" t="str">
        <f>IFERROR(VLOOKUP(ТабПозиции[[#This Row],[orderNum]],ТабЗаказы[#Data],MATCH(E$7,ТабЗаказы[#Headers],0),0),"")</f>
        <v/>
      </c>
      <c r="F46" s="16" t="s">
        <v>590</v>
      </c>
      <c r="G46" s="40" t="s">
        <v>545</v>
      </c>
      <c r="H46" s="17"/>
      <c r="I46" s="18">
        <v>45380</v>
      </c>
      <c r="J46" s="10">
        <v>1</v>
      </c>
      <c r="L46">
        <v>0</v>
      </c>
      <c r="M46" s="10">
        <v>1399</v>
      </c>
      <c r="N46">
        <f t="shared" si="0"/>
        <v>1399</v>
      </c>
      <c r="P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Row],[orderNum]],ТабПозиции[orderSumm])&gt;1500),ABS(N46*VLOOKUP(ТабПозиции[[#This Row],[orderNum]],ТабЗаказы[#Data],MATCH("Percent",ТабЗаказы[#Headers],0),0))/100,200/COUNTIF(ТабПозиции[orderNum],ТабПозиции[[#This Row],[orderNum]])),0),"")</f>
        <v>210</v>
      </c>
      <c r="Q46">
        <f>IF(OR(ТабПозиции[[#This Row],[item]]="По штрихкоду",ТабПозиции[[#This Row],[item]]="Посылка"),ТабПозиции[[#This Row],[deliverySumm]]+ТабПозиции[[#This Row],[deliveryPost]],SUM(N46:P46))</f>
        <v>1609</v>
      </c>
      <c r="R46" s="41">
        <v>1609</v>
      </c>
      <c r="S46" s="46">
        <f>ТабПозиции[[#This Row],[totalSumm]]-ТабПозиции[[#This Row],[payment]]</f>
        <v>0</v>
      </c>
      <c r="T46" s="10" t="s">
        <v>580</v>
      </c>
      <c r="U46" s="40" t="s">
        <v>545</v>
      </c>
      <c r="V46" s="40" t="s">
        <v>545</v>
      </c>
      <c r="W46" s="40" t="s">
        <v>545</v>
      </c>
      <c r="X46"/>
      <c r="Y46"/>
    </row>
    <row r="47" spans="1:25" hidden="1" x14ac:dyDescent="0.25">
      <c r="A47" s="10">
        <v>15</v>
      </c>
      <c r="B47" s="1">
        <f>IFERROR(VLOOKUP(ТабПозиции[[#This Row],[orderNum]],ТабЗаказы[#Data],MATCH(B$7,ТабЗаказы[#Headers],0),0),"")</f>
        <v>45370</v>
      </c>
      <c r="C47" t="str">
        <f>MONTH(ТабПозиции[[#This Row],[date]])&amp;"/"&amp;YEAR(ТабПозиции[[#This Row],[date]])</f>
        <v>3/2024</v>
      </c>
      <c r="D47" s="1" t="str">
        <f>IFERROR(VLOOKUP(ТабПозиции[[#This Row],[orderNum]],ТабЗаказы[#Data],MATCH(D$7,ТабЗаказы[#Headers],0),0),"")</f>
        <v/>
      </c>
      <c r="E47" s="1" t="str">
        <f>IFERROR(VLOOKUP(ТабПозиции[[#This Row],[orderNum]],ТабЗаказы[#Data],MATCH(E$7,ТабЗаказы[#Headers],0),0),"")</f>
        <v/>
      </c>
      <c r="F47" s="16" t="s">
        <v>591</v>
      </c>
      <c r="G47" s="40" t="s">
        <v>545</v>
      </c>
      <c r="H47" s="17"/>
      <c r="I47" s="18">
        <v>45372</v>
      </c>
      <c r="J47" s="10">
        <v>1</v>
      </c>
      <c r="L47">
        <v>0</v>
      </c>
      <c r="M47" s="10">
        <v>570</v>
      </c>
      <c r="N47">
        <f t="shared" si="0"/>
        <v>570</v>
      </c>
      <c r="P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Row],[orderNum]],ТабПозиции[orderSumm])&gt;1500),ABS(N47*VLOOKUP(ТабПозиции[[#This Row],[orderNum]],ТабЗаказы[#Data],MATCH("Percent",ТабЗаказы[#Headers],0),0))/100,200/COUNTIF(ТабПозиции[orderNum],ТабПозиции[[#This Row],[orderNum]])),0),"")</f>
        <v>86</v>
      </c>
      <c r="Q47">
        <f>IF(OR(ТабПозиции[[#This Row],[item]]="По штрихкоду",ТабПозиции[[#This Row],[item]]="Посылка"),ТабПозиции[[#This Row],[deliverySumm]]+ТабПозиции[[#This Row],[deliveryPost]],SUM(N47:P47))</f>
        <v>656</v>
      </c>
      <c r="R47" s="41">
        <v>656</v>
      </c>
      <c r="S47" s="46">
        <f>ТабПозиции[[#This Row],[totalSumm]]-ТабПозиции[[#This Row],[payment]]</f>
        <v>0</v>
      </c>
      <c r="T47" s="10" t="s">
        <v>580</v>
      </c>
      <c r="U47" s="40" t="s">
        <v>545</v>
      </c>
      <c r="V47" s="40" t="s">
        <v>545</v>
      </c>
      <c r="W47" s="40" t="s">
        <v>545</v>
      </c>
      <c r="X47"/>
      <c r="Y47"/>
    </row>
    <row r="48" spans="1:25" hidden="1" x14ac:dyDescent="0.25">
      <c r="A48" s="10">
        <v>15</v>
      </c>
      <c r="B48" s="1">
        <f>IFERROR(VLOOKUP(ТабПозиции[[#This Row],[orderNum]],ТабЗаказы[#Data],MATCH(B$7,ТабЗаказы[#Headers],0),0),"")</f>
        <v>45370</v>
      </c>
      <c r="C48" t="str">
        <f>MONTH(ТабПозиции[[#This Row],[date]])&amp;"/"&amp;YEAR(ТабПозиции[[#This Row],[date]])</f>
        <v>3/2024</v>
      </c>
      <c r="D48" s="1" t="str">
        <f>IFERROR(VLOOKUP(ТабПозиции[[#This Row],[orderNum]],ТабЗаказы[#Data],MATCH(D$7,ТабЗаказы[#Headers],0),0),"")</f>
        <v/>
      </c>
      <c r="E48" s="1" t="str">
        <f>IFERROR(VLOOKUP(ТабПозиции[[#This Row],[orderNum]],ТабЗаказы[#Data],MATCH(E$7,ТабЗаказы[#Headers],0),0),"")</f>
        <v/>
      </c>
      <c r="F48" s="16" t="s">
        <v>592</v>
      </c>
      <c r="G48" s="40" t="s">
        <v>545</v>
      </c>
      <c r="H48" s="17"/>
      <c r="I48" s="18">
        <v>45373</v>
      </c>
      <c r="J48" s="10">
        <v>1</v>
      </c>
      <c r="L48">
        <v>0</v>
      </c>
      <c r="M48" s="10">
        <v>212</v>
      </c>
      <c r="N48">
        <f t="shared" si="0"/>
        <v>212</v>
      </c>
      <c r="P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Row],[orderNum]],ТабПозиции[orderSumm])&gt;1500),ABS(N48*VLOOKUP(ТабПозиции[[#This Row],[orderNum]],ТабЗаказы[#Data],MATCH("Percent",ТабЗаказы[#Headers],0),0))/100,200/COUNTIF(ТабПозиции[orderNum],ТабПозиции[[#This Row],[orderNum]])),0),"")</f>
        <v>32</v>
      </c>
      <c r="Q48">
        <f>IF(OR(ТабПозиции[[#This Row],[item]]="По штрихкоду",ТабПозиции[[#This Row],[item]]="Посылка"),ТабПозиции[[#This Row],[deliverySumm]]+ТабПозиции[[#This Row],[deliveryPost]],SUM(N48:P48))</f>
        <v>244</v>
      </c>
      <c r="R48" s="41">
        <v>244</v>
      </c>
      <c r="S48" s="46">
        <f>ТабПозиции[[#This Row],[totalSumm]]-ТабПозиции[[#This Row],[payment]]</f>
        <v>0</v>
      </c>
      <c r="T48" s="10" t="s">
        <v>580</v>
      </c>
      <c r="U48" s="40" t="s">
        <v>545</v>
      </c>
      <c r="V48" s="40" t="s">
        <v>545</v>
      </c>
      <c r="W48" s="40" t="s">
        <v>545</v>
      </c>
      <c r="X48"/>
      <c r="Y48"/>
    </row>
    <row r="49" spans="1:25" hidden="1" x14ac:dyDescent="0.25">
      <c r="A49" s="10">
        <v>15</v>
      </c>
      <c r="B49" s="1">
        <f>IFERROR(VLOOKUP(ТабПозиции[[#This Row],[orderNum]],ТабЗаказы[#Data],MATCH(B$7,ТабЗаказы[#Headers],0),0),"")</f>
        <v>45370</v>
      </c>
      <c r="C49" t="str">
        <f>MONTH(ТабПозиции[[#This Row],[date]])&amp;"/"&amp;YEAR(ТабПозиции[[#This Row],[date]])</f>
        <v>3/2024</v>
      </c>
      <c r="D49" s="1" t="str">
        <f>IFERROR(VLOOKUP(ТабПозиции[[#This Row],[orderNum]],ТабЗаказы[#Data],MATCH(D$7,ТабЗаказы[#Headers],0),0),"")</f>
        <v/>
      </c>
      <c r="E49" s="1" t="str">
        <f>IFERROR(VLOOKUP(ТабПозиции[[#This Row],[orderNum]],ТабЗаказы[#Data],MATCH(E$7,ТабЗаказы[#Headers],0),0),"")</f>
        <v/>
      </c>
      <c r="F49" s="16" t="s">
        <v>593</v>
      </c>
      <c r="G49" s="40" t="s">
        <v>545</v>
      </c>
      <c r="H49" s="17"/>
      <c r="I49" s="18">
        <v>45374</v>
      </c>
      <c r="J49" s="10">
        <v>1</v>
      </c>
      <c r="L49">
        <v>0</v>
      </c>
      <c r="M49" s="10">
        <v>1246</v>
      </c>
      <c r="N49">
        <f t="shared" si="0"/>
        <v>1246</v>
      </c>
      <c r="P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Row],[orderNum]],ТабПозиции[orderSumm])&gt;1500),ABS(N49*VLOOKUP(ТабПозиции[[#This Row],[orderNum]],ТабЗаказы[#Data],MATCH("Percent",ТабЗаказы[#Headers],0),0))/100,200/COUNTIF(ТабПозиции[orderNum],ТабПозиции[[#This Row],[orderNum]])),0),"")</f>
        <v>187</v>
      </c>
      <c r="Q49">
        <f>IF(OR(ТабПозиции[[#This Row],[item]]="По штрихкоду",ТабПозиции[[#This Row],[item]]="Посылка"),ТабПозиции[[#This Row],[deliverySumm]]+ТабПозиции[[#This Row],[deliveryPost]],SUM(N49:P49))</f>
        <v>1433</v>
      </c>
      <c r="R49" s="41">
        <v>1433</v>
      </c>
      <c r="S49" s="46">
        <f>ТабПозиции[[#This Row],[totalSumm]]-ТабПозиции[[#This Row],[payment]]</f>
        <v>0</v>
      </c>
      <c r="T49" s="10" t="s">
        <v>580</v>
      </c>
      <c r="U49" s="40" t="s">
        <v>545</v>
      </c>
      <c r="V49" s="40" t="s">
        <v>545</v>
      </c>
      <c r="W49" s="40" t="s">
        <v>545</v>
      </c>
      <c r="X49"/>
      <c r="Y49"/>
    </row>
    <row r="50" spans="1:25" hidden="1" x14ac:dyDescent="0.25">
      <c r="A50" s="10">
        <v>15</v>
      </c>
      <c r="B50" s="1">
        <f>IFERROR(VLOOKUP(ТабПозиции[[#This Row],[orderNum]],ТабЗаказы[#Data],MATCH(B$7,ТабЗаказы[#Headers],0),0),"")</f>
        <v>45370</v>
      </c>
      <c r="C50" t="str">
        <f>MONTH(ТабПозиции[[#This Row],[date]])&amp;"/"&amp;YEAR(ТабПозиции[[#This Row],[date]])</f>
        <v>3/2024</v>
      </c>
      <c r="D50" s="1" t="str">
        <f>IFERROR(VLOOKUP(ТабПозиции[[#This Row],[orderNum]],ТабЗаказы[#Data],MATCH(D$7,ТабЗаказы[#Headers],0),0),"")</f>
        <v/>
      </c>
      <c r="E50" s="1" t="str">
        <f>IFERROR(VLOOKUP(ТабПозиции[[#This Row],[orderNum]],ТабЗаказы[#Data],MATCH(E$7,ТабЗаказы[#Headers],0),0),"")</f>
        <v/>
      </c>
      <c r="F50" s="16" t="s">
        <v>594</v>
      </c>
      <c r="G50" s="40" t="s">
        <v>545</v>
      </c>
      <c r="H50" s="17"/>
      <c r="I50" s="18">
        <v>45375</v>
      </c>
      <c r="J50" s="10">
        <v>1</v>
      </c>
      <c r="L50">
        <v>0</v>
      </c>
      <c r="M50" s="10">
        <v>388</v>
      </c>
      <c r="N50">
        <f t="shared" si="0"/>
        <v>388</v>
      </c>
      <c r="P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Row],[orderNum]],ТабПозиции[orderSumm])&gt;1500),ABS(N50*VLOOKUP(ТабПозиции[[#This Row],[orderNum]],ТабЗаказы[#Data],MATCH("Percent",ТабЗаказы[#Headers],0),0))/100,200/COUNTIF(ТабПозиции[orderNum],ТабПозиции[[#This Row],[orderNum]])),0),"")</f>
        <v>58</v>
      </c>
      <c r="Q50">
        <f>IF(OR(ТабПозиции[[#This Row],[item]]="По штрихкоду",ТабПозиции[[#This Row],[item]]="Посылка"),ТабПозиции[[#This Row],[deliverySumm]]+ТабПозиции[[#This Row],[deliveryPost]],SUM(N50:P50))</f>
        <v>446</v>
      </c>
      <c r="R50" s="41">
        <v>446</v>
      </c>
      <c r="S50" s="46">
        <f>ТабПозиции[[#This Row],[totalSumm]]-ТабПозиции[[#This Row],[payment]]</f>
        <v>0</v>
      </c>
      <c r="T50" s="10" t="s">
        <v>580</v>
      </c>
      <c r="U50" s="40" t="s">
        <v>545</v>
      </c>
      <c r="V50" s="40" t="s">
        <v>545</v>
      </c>
      <c r="W50" s="40" t="s">
        <v>545</v>
      </c>
      <c r="X50"/>
      <c r="Y50"/>
    </row>
    <row r="51" spans="1:25" hidden="1" x14ac:dyDescent="0.25">
      <c r="A51" s="10">
        <v>15</v>
      </c>
      <c r="B51" s="1">
        <f>IFERROR(VLOOKUP(ТабПозиции[[#This Row],[orderNum]],ТабЗаказы[#Data],MATCH(B$7,ТабЗаказы[#Headers],0),0),"")</f>
        <v>45370</v>
      </c>
      <c r="C51" t="str">
        <f>MONTH(ТабПозиции[[#This Row],[date]])&amp;"/"&amp;YEAR(ТабПозиции[[#This Row],[date]])</f>
        <v>3/2024</v>
      </c>
      <c r="D51" s="1" t="str">
        <f>IFERROR(VLOOKUP(ТабПозиции[[#This Row],[orderNum]],ТабЗаказы[#Data],MATCH(D$7,ТабЗаказы[#Headers],0),0),"")</f>
        <v/>
      </c>
      <c r="E51" s="1" t="str">
        <f>IFERROR(VLOOKUP(ТабПозиции[[#This Row],[orderNum]],ТабЗаказы[#Data],MATCH(E$7,ТабЗаказы[#Headers],0),0),"")</f>
        <v/>
      </c>
      <c r="F51" s="16" t="s">
        <v>595</v>
      </c>
      <c r="G51" s="40" t="s">
        <v>545</v>
      </c>
      <c r="H51" s="17"/>
      <c r="I51" s="18">
        <v>45372</v>
      </c>
      <c r="J51" s="10">
        <v>1</v>
      </c>
      <c r="L51">
        <v>0</v>
      </c>
      <c r="M51" s="10">
        <v>531</v>
      </c>
      <c r="N51">
        <f t="shared" si="0"/>
        <v>531</v>
      </c>
      <c r="P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Row],[orderNum]],ТабПозиции[orderSumm])&gt;1500),ABS(N51*VLOOKUP(ТабПозиции[[#This Row],[orderNum]],ТабЗаказы[#Data],MATCH("Percent",ТабЗаказы[#Headers],0),0))/100,200/COUNTIF(ТабПозиции[orderNum],ТабПозиции[[#This Row],[orderNum]])),0),"")</f>
        <v>80</v>
      </c>
      <c r="Q51">
        <f>IF(OR(ТабПозиции[[#This Row],[item]]="По штрихкоду",ТабПозиции[[#This Row],[item]]="Посылка"),ТабПозиции[[#This Row],[deliverySumm]]+ТабПозиции[[#This Row],[deliveryPost]],SUM(N51:P51))</f>
        <v>611</v>
      </c>
      <c r="R51" s="41">
        <v>611</v>
      </c>
      <c r="S51" s="46">
        <f>ТабПозиции[[#This Row],[totalSumm]]-ТабПозиции[[#This Row],[payment]]</f>
        <v>0</v>
      </c>
      <c r="T51" s="10" t="s">
        <v>580</v>
      </c>
      <c r="U51" s="40" t="s">
        <v>545</v>
      </c>
      <c r="V51" s="40" t="s">
        <v>545</v>
      </c>
      <c r="W51" s="40" t="s">
        <v>545</v>
      </c>
      <c r="X51"/>
      <c r="Y51"/>
    </row>
    <row r="52" spans="1:25" hidden="1" x14ac:dyDescent="0.25">
      <c r="A52" s="10">
        <v>16</v>
      </c>
      <c r="B52" s="1">
        <f>IFERROR(VLOOKUP(ТабПозиции[[#This Row],[orderNum]],ТабЗаказы[#Data],MATCH(B$7,ТабЗаказы[#Headers],0),0),"")</f>
        <v>45371</v>
      </c>
      <c r="C52" t="str">
        <f>MONTH(ТабПозиции[[#This Row],[date]])&amp;"/"&amp;YEAR(ТабПозиции[[#This Row],[date]])</f>
        <v>3/2024</v>
      </c>
      <c r="D52" s="1" t="str">
        <f>IFERROR(VLOOKUP(ТабПозиции[[#This Row],[orderNum]],ТабЗаказы[#Data],MATCH(D$7,ТабЗаказы[#Headers],0),0),"")</f>
        <v/>
      </c>
      <c r="E52" s="1" t="str">
        <f>IFERROR(VLOOKUP(ТабПозиции[[#This Row],[orderNum]],ТабЗаказы[#Data],MATCH(E$7,ТабЗаказы[#Headers],0),0),"")</f>
        <v/>
      </c>
      <c r="F52" s="16" t="s">
        <v>596</v>
      </c>
      <c r="G52" s="40" t="s">
        <v>545</v>
      </c>
      <c r="H52" s="17"/>
      <c r="I52" s="18">
        <v>45373</v>
      </c>
      <c r="J52" s="10">
        <v>1</v>
      </c>
      <c r="L52">
        <v>0</v>
      </c>
      <c r="M52" s="10">
        <v>1199</v>
      </c>
      <c r="N52">
        <f t="shared" si="0"/>
        <v>1199</v>
      </c>
      <c r="P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Row],[orderNum]],ТабПозиции[orderSumm])&gt;1500),ABS(N52*VLOOKUP(ТабПозиции[[#This Row],[orderNum]],ТабЗаказы[#Data],MATCH("Percent",ТабЗаказы[#Headers],0),0))/100,200/COUNTIF(ТабПозиции[orderNum],ТабПозиции[[#This Row],[orderNum]])),0),"")</f>
        <v>120</v>
      </c>
      <c r="Q52">
        <f>IF(OR(ТабПозиции[[#This Row],[item]]="По штрихкоду",ТабПозиции[[#This Row],[item]]="Посылка"),ТабПозиции[[#This Row],[deliverySumm]]+ТабПозиции[[#This Row],[deliveryPost]],SUM(N52:P52))</f>
        <v>1319</v>
      </c>
      <c r="R52" s="41">
        <v>1319</v>
      </c>
      <c r="S52" s="46">
        <f>ТабПозиции[[#This Row],[totalSumm]]-ТабПозиции[[#This Row],[payment]]</f>
        <v>0</v>
      </c>
      <c r="T52" s="10" t="s">
        <v>563</v>
      </c>
      <c r="U52" s="40" t="s">
        <v>545</v>
      </c>
      <c r="V52" s="40" t="s">
        <v>545</v>
      </c>
      <c r="W52" s="40" t="s">
        <v>545</v>
      </c>
      <c r="X52"/>
      <c r="Y52"/>
    </row>
    <row r="53" spans="1:25" hidden="1" x14ac:dyDescent="0.25">
      <c r="A53" s="10">
        <v>16</v>
      </c>
      <c r="B53" s="1">
        <f>IFERROR(VLOOKUP(ТабПозиции[[#This Row],[orderNum]],ТабЗаказы[#Data],MATCH(B$7,ТабЗаказы[#Headers],0),0),"")</f>
        <v>45371</v>
      </c>
      <c r="C53" t="str">
        <f>MONTH(ТабПозиции[[#This Row],[date]])&amp;"/"&amp;YEAR(ТабПозиции[[#This Row],[date]])</f>
        <v>3/2024</v>
      </c>
      <c r="D53" s="1" t="str">
        <f>IFERROR(VLOOKUP(ТабПозиции[[#This Row],[orderNum]],ТабЗаказы[#Data],MATCH(D$7,ТабЗаказы[#Headers],0),0),"")</f>
        <v/>
      </c>
      <c r="E53" s="1" t="str">
        <f>IFERROR(VLOOKUP(ТабПозиции[[#This Row],[orderNum]],ТабЗаказы[#Data],MATCH(E$7,ТабЗаказы[#Headers],0),0),"")</f>
        <v/>
      </c>
      <c r="F53" s="16" t="s">
        <v>597</v>
      </c>
      <c r="G53" s="40" t="s">
        <v>545</v>
      </c>
      <c r="H53" s="17"/>
      <c r="I53" s="18">
        <v>45379</v>
      </c>
      <c r="J53" s="10">
        <v>1</v>
      </c>
      <c r="L53">
        <v>0</v>
      </c>
      <c r="M53" s="10">
        <v>470</v>
      </c>
      <c r="N53">
        <f t="shared" si="0"/>
        <v>470</v>
      </c>
      <c r="P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Row],[orderNum]],ТабПозиции[orderSumm])&gt;1500),ABS(N53*VLOOKUP(ТабПозиции[[#This Row],[orderNum]],ТабЗаказы[#Data],MATCH("Percent",ТабЗаказы[#Headers],0),0))/100,200/COUNTIF(ТабПозиции[orderNum],ТабПозиции[[#This Row],[orderNum]])),0),"")</f>
        <v>47</v>
      </c>
      <c r="Q53">
        <f>IF(OR(ТабПозиции[[#This Row],[item]]="По штрихкоду",ТабПозиции[[#This Row],[item]]="Посылка"),ТабПозиции[[#This Row],[deliverySumm]]+ТабПозиции[[#This Row],[deliveryPost]],SUM(N53:P53))</f>
        <v>517</v>
      </c>
      <c r="R53" s="41">
        <v>517</v>
      </c>
      <c r="S53" s="46">
        <f>ТабПозиции[[#This Row],[totalSumm]]-ТабПозиции[[#This Row],[payment]]</f>
        <v>0</v>
      </c>
      <c r="T53" s="10" t="s">
        <v>563</v>
      </c>
      <c r="U53" s="40" t="s">
        <v>545</v>
      </c>
      <c r="V53" s="40" t="s">
        <v>545</v>
      </c>
      <c r="W53" s="40" t="s">
        <v>545</v>
      </c>
      <c r="X53"/>
      <c r="Y53"/>
    </row>
    <row r="54" spans="1:25" hidden="1" x14ac:dyDescent="0.25">
      <c r="A54" s="10">
        <v>16</v>
      </c>
      <c r="B54" s="1">
        <f>IFERROR(VLOOKUP(ТабПозиции[[#This Row],[orderNum]],ТабЗаказы[#Data],MATCH(B$7,ТабЗаказы[#Headers],0),0),"")</f>
        <v>45371</v>
      </c>
      <c r="C54" t="str">
        <f>MONTH(ТабПозиции[[#This Row],[date]])&amp;"/"&amp;YEAR(ТабПозиции[[#This Row],[date]])</f>
        <v>3/2024</v>
      </c>
      <c r="D54" s="1" t="str">
        <f>IFERROR(VLOOKUP(ТабПозиции[[#This Row],[orderNum]],ТабЗаказы[#Data],MATCH(D$7,ТабЗаказы[#Headers],0),0),"")</f>
        <v/>
      </c>
      <c r="E54" s="1" t="str">
        <f>IFERROR(VLOOKUP(ТабПозиции[[#This Row],[orderNum]],ТабЗаказы[#Data],MATCH(E$7,ТабЗаказы[#Headers],0),0),"")</f>
        <v/>
      </c>
      <c r="F54" s="16" t="s">
        <v>598</v>
      </c>
      <c r="G54" s="40" t="s">
        <v>545</v>
      </c>
      <c r="H54" s="17"/>
      <c r="I54" s="18">
        <v>45373</v>
      </c>
      <c r="J54" s="10">
        <v>1</v>
      </c>
      <c r="L54">
        <v>0</v>
      </c>
      <c r="M54" s="10">
        <v>428</v>
      </c>
      <c r="N54">
        <f t="shared" si="0"/>
        <v>428</v>
      </c>
      <c r="P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Row],[orderNum]],ТабПозиции[orderSumm])&gt;1500),ABS(N54*VLOOKUP(ТабПозиции[[#This Row],[orderNum]],ТабЗаказы[#Data],MATCH("Percent",ТабЗаказы[#Headers],0),0))/100,200/COUNTIF(ТабПозиции[orderNum],ТабПозиции[[#This Row],[orderNum]])),0),"")</f>
        <v>43</v>
      </c>
      <c r="Q54">
        <f>IF(OR(ТабПозиции[[#This Row],[item]]="По штрихкоду",ТабПозиции[[#This Row],[item]]="Посылка"),ТабПозиции[[#This Row],[deliverySumm]]+ТабПозиции[[#This Row],[deliveryPost]],SUM(N54:P54))</f>
        <v>471</v>
      </c>
      <c r="R54" s="41">
        <v>471</v>
      </c>
      <c r="S54" s="46">
        <f>ТабПозиции[[#This Row],[totalSumm]]-ТабПозиции[[#This Row],[payment]]</f>
        <v>0</v>
      </c>
      <c r="T54" s="10" t="s">
        <v>563</v>
      </c>
      <c r="U54" s="40" t="s">
        <v>545</v>
      </c>
      <c r="V54" s="40" t="s">
        <v>545</v>
      </c>
      <c r="W54" s="40" t="s">
        <v>545</v>
      </c>
      <c r="X54"/>
      <c r="Y54"/>
    </row>
    <row r="55" spans="1:25" hidden="1" x14ac:dyDescent="0.25">
      <c r="A55" s="10">
        <v>16</v>
      </c>
      <c r="B55" s="1">
        <f>IFERROR(VLOOKUP(ТабПозиции[[#This Row],[orderNum]],ТабЗаказы[#Data],MATCH(B$7,ТабЗаказы[#Headers],0),0),"")</f>
        <v>45371</v>
      </c>
      <c r="C55" t="str">
        <f>MONTH(ТабПозиции[[#This Row],[date]])&amp;"/"&amp;YEAR(ТабПозиции[[#This Row],[date]])</f>
        <v>3/2024</v>
      </c>
      <c r="D55" s="1" t="str">
        <f>IFERROR(VLOOKUP(ТабПозиции[[#This Row],[orderNum]],ТабЗаказы[#Data],MATCH(D$7,ТабЗаказы[#Headers],0),0),"")</f>
        <v/>
      </c>
      <c r="E55" s="1" t="str">
        <f>IFERROR(VLOOKUP(ТабПозиции[[#This Row],[orderNum]],ТабЗаказы[#Data],MATCH(E$7,ТабЗаказы[#Headers],0),0),"")</f>
        <v/>
      </c>
      <c r="F55" s="16" t="s">
        <v>599</v>
      </c>
      <c r="G55" s="40" t="s">
        <v>545</v>
      </c>
      <c r="H55" s="17"/>
      <c r="I55" s="18">
        <v>45373</v>
      </c>
      <c r="J55" s="10">
        <v>1</v>
      </c>
      <c r="L55">
        <v>0</v>
      </c>
      <c r="M55" s="10">
        <v>284</v>
      </c>
      <c r="N55">
        <f t="shared" si="0"/>
        <v>284</v>
      </c>
      <c r="P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Row],[orderNum]],ТабПозиции[orderSumm])&gt;1500),ABS(N55*VLOOKUP(ТабПозиции[[#This Row],[orderNum]],ТабЗаказы[#Data],MATCH("Percent",ТабЗаказы[#Headers],0),0))/100,200/COUNTIF(ТабПозиции[orderNum],ТабПозиции[[#This Row],[orderNum]])),0),"")</f>
        <v>28</v>
      </c>
      <c r="Q55">
        <f>IF(OR(ТабПозиции[[#This Row],[item]]="По штрихкоду",ТабПозиции[[#This Row],[item]]="Посылка"),ТабПозиции[[#This Row],[deliverySumm]]+ТабПозиции[[#This Row],[deliveryPost]],SUM(N55:P55))</f>
        <v>312</v>
      </c>
      <c r="R55" s="41">
        <v>312</v>
      </c>
      <c r="S55" s="46">
        <f>ТабПозиции[[#This Row],[totalSumm]]-ТабПозиции[[#This Row],[payment]]</f>
        <v>0</v>
      </c>
      <c r="T55" s="10" t="s">
        <v>563</v>
      </c>
      <c r="U55" s="40" t="s">
        <v>545</v>
      </c>
      <c r="V55" s="40" t="s">
        <v>545</v>
      </c>
      <c r="W55" s="40" t="s">
        <v>545</v>
      </c>
      <c r="X55"/>
      <c r="Y55"/>
    </row>
    <row r="56" spans="1:25" hidden="1" x14ac:dyDescent="0.25">
      <c r="A56" s="10">
        <v>16</v>
      </c>
      <c r="B56" s="1">
        <f>IFERROR(VLOOKUP(ТабПозиции[[#This Row],[orderNum]],ТабЗаказы[#Data],MATCH(B$7,ТабЗаказы[#Headers],0),0),"")</f>
        <v>45371</v>
      </c>
      <c r="C56" t="str">
        <f>MONTH(ТабПозиции[[#This Row],[date]])&amp;"/"&amp;YEAR(ТабПозиции[[#This Row],[date]])</f>
        <v>3/2024</v>
      </c>
      <c r="D56" s="1" t="str">
        <f>IFERROR(VLOOKUP(ТабПозиции[[#This Row],[orderNum]],ТабЗаказы[#Data],MATCH(D$7,ТабЗаказы[#Headers],0),0),"")</f>
        <v/>
      </c>
      <c r="E56" s="1" t="str">
        <f>IFERROR(VLOOKUP(ТабПозиции[[#This Row],[orderNum]],ТабЗаказы[#Data],MATCH(E$7,ТабЗаказы[#Headers],0),0),"")</f>
        <v/>
      </c>
      <c r="F56" s="16" t="s">
        <v>600</v>
      </c>
      <c r="G56" s="40" t="s">
        <v>545</v>
      </c>
      <c r="H56" s="17"/>
      <c r="I56" s="18">
        <v>45373</v>
      </c>
      <c r="J56" s="10">
        <v>1</v>
      </c>
      <c r="L56">
        <v>0</v>
      </c>
      <c r="M56" s="10">
        <v>454</v>
      </c>
      <c r="N56">
        <f t="shared" si="0"/>
        <v>454</v>
      </c>
      <c r="P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Row],[orderNum]],ТабПозиции[orderSumm])&gt;1500),ABS(N56*VLOOKUP(ТабПозиции[[#This Row],[orderNum]],ТабЗаказы[#Data],MATCH("Percent",ТабЗаказы[#Headers],0),0))/100,200/COUNTIF(ТабПозиции[orderNum],ТабПозиции[[#This Row],[orderNum]])),0),"")</f>
        <v>45</v>
      </c>
      <c r="Q56">
        <f>IF(OR(ТабПозиции[[#This Row],[item]]="По штрихкоду",ТабПозиции[[#This Row],[item]]="Посылка"),ТабПозиции[[#This Row],[deliverySumm]]+ТабПозиции[[#This Row],[deliveryPost]],SUM(N56:P56))</f>
        <v>499</v>
      </c>
      <c r="R56" s="41">
        <v>499</v>
      </c>
      <c r="S56" s="46">
        <f>ТабПозиции[[#This Row],[totalSumm]]-ТабПозиции[[#This Row],[payment]]</f>
        <v>0</v>
      </c>
      <c r="T56" s="10" t="s">
        <v>563</v>
      </c>
      <c r="U56" s="40" t="s">
        <v>545</v>
      </c>
      <c r="V56" s="40" t="s">
        <v>545</v>
      </c>
      <c r="W56" s="40" t="s">
        <v>545</v>
      </c>
      <c r="X56"/>
      <c r="Y56"/>
    </row>
    <row r="57" spans="1:25" hidden="1" x14ac:dyDescent="0.25">
      <c r="A57" s="10">
        <v>16</v>
      </c>
      <c r="B57" s="1">
        <f>IFERROR(VLOOKUP(ТабПозиции[[#This Row],[orderNum]],ТабЗаказы[#Data],MATCH(B$7,ТабЗаказы[#Headers],0),0),"")</f>
        <v>45371</v>
      </c>
      <c r="C57" t="str">
        <f>MONTH(ТабПозиции[[#This Row],[date]])&amp;"/"&amp;YEAR(ТабПозиции[[#This Row],[date]])</f>
        <v>3/2024</v>
      </c>
      <c r="D57" s="1" t="str">
        <f>IFERROR(VLOOKUP(ТабПозиции[[#This Row],[orderNum]],ТабЗаказы[#Data],MATCH(D$7,ТабЗаказы[#Headers],0),0),"")</f>
        <v/>
      </c>
      <c r="E57" s="1" t="str">
        <f>IFERROR(VLOOKUP(ТабПозиции[[#This Row],[orderNum]],ТабЗаказы[#Data],MATCH(E$7,ТабЗаказы[#Headers],0),0),"")</f>
        <v/>
      </c>
      <c r="F57" s="16" t="s">
        <v>601</v>
      </c>
      <c r="G57" s="40" t="s">
        <v>545</v>
      </c>
      <c r="H57" s="17"/>
      <c r="I57" s="18">
        <v>45376</v>
      </c>
      <c r="J57" s="10">
        <v>1</v>
      </c>
      <c r="L57">
        <v>0</v>
      </c>
      <c r="M57" s="10">
        <v>524</v>
      </c>
      <c r="N57">
        <f t="shared" si="0"/>
        <v>524</v>
      </c>
      <c r="P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Row],[orderNum]],ТабПозиции[orderSumm])&gt;1500),ABS(N57*VLOOKUP(ТабПозиции[[#This Row],[orderNum]],ТабЗаказы[#Data],MATCH("Percent",ТабЗаказы[#Headers],0),0))/100,200/COUNTIF(ТабПозиции[orderNum],ТабПозиции[[#This Row],[orderNum]])),0),"")</f>
        <v>52</v>
      </c>
      <c r="Q57">
        <f>IF(OR(ТабПозиции[[#This Row],[item]]="По штрихкоду",ТабПозиции[[#This Row],[item]]="Посылка"),ТабПозиции[[#This Row],[deliverySumm]]+ТабПозиции[[#This Row],[deliveryPost]],SUM(N57:P57))</f>
        <v>576</v>
      </c>
      <c r="R57" s="41">
        <v>576</v>
      </c>
      <c r="S57" s="46">
        <f>ТабПозиции[[#This Row],[totalSumm]]-ТабПозиции[[#This Row],[payment]]</f>
        <v>0</v>
      </c>
      <c r="T57" s="10" t="s">
        <v>563</v>
      </c>
      <c r="U57" s="40" t="s">
        <v>545</v>
      </c>
      <c r="V57" s="40" t="s">
        <v>545</v>
      </c>
      <c r="W57" s="40" t="s">
        <v>545</v>
      </c>
      <c r="X57"/>
      <c r="Y57"/>
    </row>
    <row r="58" spans="1:25" hidden="1" x14ac:dyDescent="0.25">
      <c r="A58" s="10">
        <v>18</v>
      </c>
      <c r="B58" s="1">
        <f>IFERROR(VLOOKUP(ТабПозиции[[#This Row],[orderNum]],ТабЗаказы[#Data],MATCH(B$7,ТабЗаказы[#Headers],0),0),"")</f>
        <v>45374</v>
      </c>
      <c r="C58" t="str">
        <f>MONTH(ТабПозиции[[#This Row],[date]])&amp;"/"&amp;YEAR(ТабПозиции[[#This Row],[date]])</f>
        <v>3/2024</v>
      </c>
      <c r="D58" s="1" t="str">
        <f>IFERROR(VLOOKUP(ТабПозиции[[#This Row],[orderNum]],ТабЗаказы[#Data],MATCH(D$7,ТабЗаказы[#Headers],0),0),"")</f>
        <v/>
      </c>
      <c r="E58" s="1" t="str">
        <f>IFERROR(VLOOKUP(ТабПозиции[[#This Row],[orderNum]],ТабЗаказы[#Data],MATCH(E$7,ТабЗаказы[#Headers],0),0),"")</f>
        <v/>
      </c>
      <c r="F58" s="16" t="s">
        <v>602</v>
      </c>
      <c r="G58" s="40" t="s">
        <v>545</v>
      </c>
      <c r="H58" s="17"/>
      <c r="I58" s="18">
        <v>45377</v>
      </c>
      <c r="J58" s="10">
        <v>1</v>
      </c>
      <c r="L58">
        <v>0</v>
      </c>
      <c r="M58" s="10">
        <v>484</v>
      </c>
      <c r="N58">
        <f t="shared" si="0"/>
        <v>484</v>
      </c>
      <c r="P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58">
        <f>IF(OR(ТабПозиции[[#This Row],[item]]="По штрихкоду",ТабПозиции[[#This Row],[item]]="Посылка"),ТабПозиции[[#This Row],[deliverySumm]]+ТабПозиции[[#This Row],[deliveryPost]],SUM(N58:P58))</f>
        <v>684</v>
      </c>
      <c r="R58" s="41">
        <v>684</v>
      </c>
      <c r="S58" s="46">
        <f>ТабПозиции[[#This Row],[totalSumm]]-ТабПозиции[[#This Row],[payment]]</f>
        <v>0</v>
      </c>
      <c r="T58" s="10" t="s">
        <v>580</v>
      </c>
      <c r="U58" s="40" t="s">
        <v>545</v>
      </c>
      <c r="V58" s="40" t="s">
        <v>545</v>
      </c>
      <c r="W58" s="40" t="s">
        <v>545</v>
      </c>
      <c r="X58"/>
      <c r="Y58"/>
    </row>
    <row r="59" spans="1:25" hidden="1" x14ac:dyDescent="0.25">
      <c r="A59" s="10">
        <v>19</v>
      </c>
      <c r="B59" s="1">
        <f>IFERROR(VLOOKUP(ТабПозиции[[#This Row],[orderNum]],ТабЗаказы[#Data],MATCH(B$7,ТабЗаказы[#Headers],0),0),"")</f>
        <v>45374</v>
      </c>
      <c r="C59" t="str">
        <f>MONTH(ТабПозиции[[#This Row],[date]])&amp;"/"&amp;YEAR(ТабПозиции[[#This Row],[date]])</f>
        <v>3/2024</v>
      </c>
      <c r="D59" s="1" t="str">
        <f>IFERROR(VLOOKUP(ТабПозиции[[#This Row],[orderNum]],ТабЗаказы[#Data],MATCH(D$7,ТабЗаказы[#Headers],0),0),"")</f>
        <v/>
      </c>
      <c r="E59" s="1" t="str">
        <f>IFERROR(VLOOKUP(ТабПозиции[[#This Row],[orderNum]],ТабЗаказы[#Data],MATCH(E$7,ТабЗаказы[#Headers],0),0),"")</f>
        <v/>
      </c>
      <c r="F59" s="16" t="s">
        <v>603</v>
      </c>
      <c r="G59" s="40" t="s">
        <v>545</v>
      </c>
      <c r="H59" s="17"/>
      <c r="I59" s="18">
        <v>45376</v>
      </c>
      <c r="J59" s="10">
        <v>1</v>
      </c>
      <c r="L59">
        <v>0</v>
      </c>
      <c r="M59" s="10">
        <v>155</v>
      </c>
      <c r="N59">
        <f t="shared" si="0"/>
        <v>155</v>
      </c>
      <c r="P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Row],[orderNum]],ТабПозиции[orderSumm])&gt;1500),ABS(N59*VLOOKUP(ТабПозиции[[#This Row],[orderNum]],ТабЗаказы[#Data],MATCH("Percent",ТабЗаказы[#Headers],0),0))/100,200/COUNTIF(ТабПозиции[orderNum],ТабПозиции[[#This Row],[orderNum]])),0),"")</f>
        <v>23</v>
      </c>
      <c r="Q59">
        <f>IF(OR(ТабПозиции[[#This Row],[item]]="По штрихкоду",ТабПозиции[[#This Row],[item]]="Посылка"),ТабПозиции[[#This Row],[deliverySumm]]+ТабПозиции[[#This Row],[deliveryPost]],SUM(N59:P59))</f>
        <v>178</v>
      </c>
      <c r="R59" s="41">
        <v>178</v>
      </c>
      <c r="S59" s="46">
        <f>ТабПозиции[[#This Row],[totalSumm]]-ТабПозиции[[#This Row],[payment]]</f>
        <v>0</v>
      </c>
      <c r="T59" s="10" t="s">
        <v>580</v>
      </c>
      <c r="U59" s="40" t="s">
        <v>545</v>
      </c>
      <c r="V59" s="40" t="s">
        <v>545</v>
      </c>
      <c r="W59" s="40" t="s">
        <v>545</v>
      </c>
      <c r="X59"/>
      <c r="Y59"/>
    </row>
    <row r="60" spans="1:25" hidden="1" x14ac:dyDescent="0.25">
      <c r="A60" s="10">
        <v>19</v>
      </c>
      <c r="B60" s="1">
        <f>IFERROR(VLOOKUP(ТабПозиции[[#This Row],[orderNum]],ТабЗаказы[#Data],MATCH(B$7,ТабЗаказы[#Headers],0),0),"")</f>
        <v>45374</v>
      </c>
      <c r="C60" t="str">
        <f>MONTH(ТабПозиции[[#This Row],[date]])&amp;"/"&amp;YEAR(ТабПозиции[[#This Row],[date]])</f>
        <v>3/2024</v>
      </c>
      <c r="D60" s="1" t="str">
        <f>IFERROR(VLOOKUP(ТабПозиции[[#This Row],[orderNum]],ТабЗаказы[#Data],MATCH(D$7,ТабЗаказы[#Headers],0),0),"")</f>
        <v/>
      </c>
      <c r="E60" s="1" t="str">
        <f>IFERROR(VLOOKUP(ТабПозиции[[#This Row],[orderNum]],ТабЗаказы[#Data],MATCH(E$7,ТабЗаказы[#Headers],0),0),"")</f>
        <v/>
      </c>
      <c r="F60" s="16" t="s">
        <v>604</v>
      </c>
      <c r="G60" s="40" t="s">
        <v>545</v>
      </c>
      <c r="H60" s="17"/>
      <c r="I60" s="18">
        <v>45378</v>
      </c>
      <c r="J60" s="10">
        <v>1</v>
      </c>
      <c r="L60">
        <v>0</v>
      </c>
      <c r="M60" s="10">
        <v>278</v>
      </c>
      <c r="N60">
        <f t="shared" si="0"/>
        <v>278</v>
      </c>
      <c r="P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Row],[orderNum]],ТабПозиции[orderSumm])&gt;1500),ABS(N60*VLOOKUP(ТабПозиции[[#This Row],[orderNum]],ТабЗаказы[#Data],MATCH("Percent",ТабЗаказы[#Headers],0),0))/100,200/COUNTIF(ТабПозиции[orderNum],ТабПозиции[[#This Row],[orderNum]])),0),"")</f>
        <v>42</v>
      </c>
      <c r="Q60">
        <f>IF(OR(ТабПозиции[[#This Row],[item]]="По штрихкоду",ТабПозиции[[#This Row],[item]]="Посылка"),ТабПозиции[[#This Row],[deliverySumm]]+ТабПозиции[[#This Row],[deliveryPost]],SUM(N60:P60))</f>
        <v>320</v>
      </c>
      <c r="R60" s="41">
        <v>320</v>
      </c>
      <c r="S60" s="46">
        <f>ТабПозиции[[#This Row],[totalSumm]]-ТабПозиции[[#This Row],[payment]]</f>
        <v>0</v>
      </c>
      <c r="T60" s="10" t="s">
        <v>563</v>
      </c>
      <c r="U60" s="40" t="s">
        <v>545</v>
      </c>
      <c r="V60" s="40" t="s">
        <v>545</v>
      </c>
      <c r="W60" s="40" t="s">
        <v>545</v>
      </c>
      <c r="X60"/>
      <c r="Y60"/>
    </row>
    <row r="61" spans="1:25" hidden="1" x14ac:dyDescent="0.25">
      <c r="A61" s="10">
        <v>19</v>
      </c>
      <c r="B61" s="1">
        <f>IFERROR(VLOOKUP(ТабПозиции[[#This Row],[orderNum]],ТабЗаказы[#Data],MATCH(B$7,ТабЗаказы[#Headers],0),0),"")</f>
        <v>45374</v>
      </c>
      <c r="C61" t="str">
        <f>MONTH(ТабПозиции[[#This Row],[date]])&amp;"/"&amp;YEAR(ТабПозиции[[#This Row],[date]])</f>
        <v>3/2024</v>
      </c>
      <c r="D61" s="1" t="str">
        <f>IFERROR(VLOOKUP(ТабПозиции[[#This Row],[orderNum]],ТабЗаказы[#Data],MATCH(D$7,ТабЗаказы[#Headers],0),0),"")</f>
        <v/>
      </c>
      <c r="E61" s="1" t="str">
        <f>IFERROR(VLOOKUP(ТабПозиции[[#This Row],[orderNum]],ТабЗаказы[#Data],MATCH(E$7,ТабЗаказы[#Headers],0),0),"")</f>
        <v/>
      </c>
      <c r="F61" s="16" t="s">
        <v>605</v>
      </c>
      <c r="G61" s="40" t="s">
        <v>545</v>
      </c>
      <c r="H61" s="17"/>
      <c r="I61" s="18">
        <v>45377</v>
      </c>
      <c r="J61" s="10">
        <v>1</v>
      </c>
      <c r="L61">
        <v>0</v>
      </c>
      <c r="M61" s="10">
        <v>362</v>
      </c>
      <c r="N61">
        <f t="shared" si="0"/>
        <v>362</v>
      </c>
      <c r="P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Row],[orderNum]],ТабПозиции[orderSumm])&gt;1500),ABS(N61*VLOOKUP(ТабПозиции[[#This Row],[orderNum]],ТабЗаказы[#Data],MATCH("Percent",ТабЗаказы[#Headers],0),0))/100,200/COUNTIF(ТабПозиции[orderNum],ТабПозиции[[#This Row],[orderNum]])),0),"")</f>
        <v>54</v>
      </c>
      <c r="Q61">
        <f>IF(OR(ТабПозиции[[#This Row],[item]]="По штрихкоду",ТабПозиции[[#This Row],[item]]="Посылка"),ТабПозиции[[#This Row],[deliverySumm]]+ТабПозиции[[#This Row],[deliveryPost]],SUM(N61:P61))</f>
        <v>416</v>
      </c>
      <c r="R61" s="41">
        <v>416</v>
      </c>
      <c r="S61" s="46">
        <f>ТабПозиции[[#This Row],[totalSumm]]-ТабПозиции[[#This Row],[payment]]</f>
        <v>0</v>
      </c>
      <c r="T61" s="10" t="s">
        <v>580</v>
      </c>
      <c r="U61" s="40" t="s">
        <v>545</v>
      </c>
      <c r="V61" s="40" t="s">
        <v>545</v>
      </c>
      <c r="W61" s="40" t="s">
        <v>545</v>
      </c>
      <c r="X61"/>
      <c r="Y61"/>
    </row>
    <row r="62" spans="1:25" hidden="1" x14ac:dyDescent="0.25">
      <c r="A62" s="10">
        <v>19</v>
      </c>
      <c r="B62" s="1">
        <f>IFERROR(VLOOKUP(ТабПозиции[[#This Row],[orderNum]],ТабЗаказы[#Data],MATCH(B$7,ТабЗаказы[#Headers],0),0),"")</f>
        <v>45374</v>
      </c>
      <c r="C62" t="str">
        <f>MONTH(ТабПозиции[[#This Row],[date]])&amp;"/"&amp;YEAR(ТабПозиции[[#This Row],[date]])</f>
        <v>3/2024</v>
      </c>
      <c r="D62" s="1" t="str">
        <f>IFERROR(VLOOKUP(ТабПозиции[[#This Row],[orderNum]],ТабЗаказы[#Data],MATCH(D$7,ТабЗаказы[#Headers],0),0),"")</f>
        <v/>
      </c>
      <c r="E62" s="1" t="str">
        <f>IFERROR(VLOOKUP(ТабПозиции[[#This Row],[orderNum]],ТабЗаказы[#Data],MATCH(E$7,ТабЗаказы[#Headers],0),0),"")</f>
        <v/>
      </c>
      <c r="F62" s="16" t="s">
        <v>606</v>
      </c>
      <c r="G62" s="40" t="s">
        <v>545</v>
      </c>
      <c r="H62" s="17"/>
      <c r="I62" s="18">
        <v>45382</v>
      </c>
      <c r="J62" s="10">
        <v>1</v>
      </c>
      <c r="L62">
        <v>0</v>
      </c>
      <c r="M62" s="10">
        <v>360</v>
      </c>
      <c r="N62">
        <f t="shared" si="0"/>
        <v>360</v>
      </c>
      <c r="P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Row],[orderNum]],ТабПозиции[orderSumm])&gt;1500),ABS(N62*VLOOKUP(ТабПозиции[[#This Row],[orderNum]],ТабЗаказы[#Data],MATCH("Percent",ТабЗаказы[#Headers],0),0))/100,200/COUNTIF(ТабПозиции[orderNum],ТабПозиции[[#This Row],[orderNum]])),0),"")</f>
        <v>54</v>
      </c>
      <c r="Q62">
        <f>IF(OR(ТабПозиции[[#This Row],[item]]="По штрихкоду",ТабПозиции[[#This Row],[item]]="Посылка"),ТабПозиции[[#This Row],[deliverySumm]]+ТабПозиции[[#This Row],[deliveryPost]],SUM(N62:P62))</f>
        <v>414</v>
      </c>
      <c r="R62" s="41">
        <v>414</v>
      </c>
      <c r="S62" s="46">
        <f>ТабПозиции[[#This Row],[totalSumm]]-ТабПозиции[[#This Row],[payment]]</f>
        <v>0</v>
      </c>
      <c r="T62" s="18" t="s">
        <v>580</v>
      </c>
      <c r="U62" s="40" t="s">
        <v>545</v>
      </c>
      <c r="V62" s="40" t="s">
        <v>545</v>
      </c>
      <c r="W62" s="40" t="s">
        <v>545</v>
      </c>
      <c r="X62"/>
      <c r="Y62"/>
    </row>
    <row r="63" spans="1:25" hidden="1" x14ac:dyDescent="0.25">
      <c r="A63" s="10">
        <v>19</v>
      </c>
      <c r="B63" s="1">
        <f>IFERROR(VLOOKUP(ТабПозиции[[#This Row],[orderNum]],ТабЗаказы[#Data],MATCH(B$7,ТабЗаказы[#Headers],0),0),"")</f>
        <v>45374</v>
      </c>
      <c r="C63" t="str">
        <f>MONTH(ТабПозиции[[#This Row],[date]])&amp;"/"&amp;YEAR(ТабПозиции[[#This Row],[date]])</f>
        <v>3/2024</v>
      </c>
      <c r="D63" s="1" t="str">
        <f>IFERROR(VLOOKUP(ТабПозиции[[#This Row],[orderNum]],ТабЗаказы[#Data],MATCH(D$7,ТабЗаказы[#Headers],0),0),"")</f>
        <v/>
      </c>
      <c r="E63" s="1" t="str">
        <f>IFERROR(VLOOKUP(ТабПозиции[[#This Row],[orderNum]],ТабЗаказы[#Data],MATCH(E$7,ТабЗаказы[#Headers],0),0),"")</f>
        <v/>
      </c>
      <c r="F63" s="16" t="s">
        <v>607</v>
      </c>
      <c r="G63" s="40" t="s">
        <v>545</v>
      </c>
      <c r="H63" s="17"/>
      <c r="I63" s="18">
        <v>45377</v>
      </c>
      <c r="J63" s="10">
        <v>1</v>
      </c>
      <c r="L63">
        <v>0</v>
      </c>
      <c r="M63" s="10">
        <v>565</v>
      </c>
      <c r="N63">
        <f t="shared" si="0"/>
        <v>565</v>
      </c>
      <c r="P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Row],[orderNum]],ТабПозиции[orderSumm])&gt;1500),ABS(N63*VLOOKUP(ТабПозиции[[#This Row],[orderNum]],ТабЗаказы[#Data],MATCH("Percent",ТабЗаказы[#Headers],0),0))/100,200/COUNTIF(ТабПозиции[orderNum],ТабПозиции[[#This Row],[orderNum]])),0),"")</f>
        <v>85</v>
      </c>
      <c r="Q63">
        <f>IF(OR(ТабПозиции[[#This Row],[item]]="По штрихкоду",ТабПозиции[[#This Row],[item]]="Посылка"),ТабПозиции[[#This Row],[deliverySumm]]+ТабПозиции[[#This Row],[deliveryPost]],SUM(N63:P63))</f>
        <v>650</v>
      </c>
      <c r="R63" s="41">
        <v>650</v>
      </c>
      <c r="S63" s="46">
        <f>ТабПозиции[[#This Row],[totalSumm]]-ТабПозиции[[#This Row],[payment]]</f>
        <v>0</v>
      </c>
      <c r="T63" s="18" t="s">
        <v>580</v>
      </c>
      <c r="U63" s="40" t="s">
        <v>545</v>
      </c>
      <c r="V63" s="40" t="s">
        <v>545</v>
      </c>
      <c r="W63" s="40" t="s">
        <v>545</v>
      </c>
      <c r="X63"/>
      <c r="Y63"/>
    </row>
    <row r="64" spans="1:25" hidden="1" x14ac:dyDescent="0.25">
      <c r="A64" s="10">
        <v>19</v>
      </c>
      <c r="B64" s="1">
        <f>IFERROR(VLOOKUP(ТабПозиции[[#This Row],[orderNum]],ТабЗаказы[#Data],MATCH(B$7,ТабЗаказы[#Headers],0),0),"")</f>
        <v>45374</v>
      </c>
      <c r="C64" t="str">
        <f>MONTH(ТабПозиции[[#This Row],[date]])&amp;"/"&amp;YEAR(ТабПозиции[[#This Row],[date]])</f>
        <v>3/2024</v>
      </c>
      <c r="D64" s="1" t="str">
        <f>IFERROR(VLOOKUP(ТабПозиции[[#This Row],[orderNum]],ТабЗаказы[#Data],MATCH(D$7,ТабЗаказы[#Headers],0),0),"")</f>
        <v/>
      </c>
      <c r="E64" s="1" t="str">
        <f>IFERROR(VLOOKUP(ТабПозиции[[#This Row],[orderNum]],ТабЗаказы[#Data],MATCH(E$7,ТабЗаказы[#Headers],0),0),"")</f>
        <v/>
      </c>
      <c r="F64" s="16" t="s">
        <v>608</v>
      </c>
      <c r="G64" s="40" t="s">
        <v>545</v>
      </c>
      <c r="H64" s="17"/>
      <c r="I64" s="18">
        <v>45378</v>
      </c>
      <c r="J64" s="10">
        <v>1</v>
      </c>
      <c r="L64">
        <v>0</v>
      </c>
      <c r="M64" s="10">
        <v>292</v>
      </c>
      <c r="N64">
        <f t="shared" si="0"/>
        <v>292</v>
      </c>
      <c r="P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Row],[orderNum]],ТабПозиции[orderSumm])&gt;1500),ABS(N64*VLOOKUP(ТабПозиции[[#This Row],[orderNum]],ТабЗаказы[#Data],MATCH("Percent",ТабЗаказы[#Headers],0),0))/100,200/COUNTIF(ТабПозиции[orderNum],ТабПозиции[[#This Row],[orderNum]])),0),"")</f>
        <v>44</v>
      </c>
      <c r="Q64">
        <f>IF(OR(ТабПозиции[[#This Row],[item]]="По штрихкоду",ТабПозиции[[#This Row],[item]]="Посылка"),ТабПозиции[[#This Row],[deliverySumm]]+ТабПозиции[[#This Row],[deliveryPost]],SUM(N64:P64))</f>
        <v>336</v>
      </c>
      <c r="R64" s="41">
        <v>336</v>
      </c>
      <c r="S64" s="46">
        <f>ТабПозиции[[#This Row],[totalSumm]]-ТабПозиции[[#This Row],[payment]]</f>
        <v>0</v>
      </c>
      <c r="T64" s="18" t="s">
        <v>580</v>
      </c>
      <c r="U64" s="40" t="s">
        <v>545</v>
      </c>
      <c r="V64" s="40" t="s">
        <v>545</v>
      </c>
      <c r="W64" s="40" t="s">
        <v>545</v>
      </c>
      <c r="X64"/>
      <c r="Y64"/>
    </row>
    <row r="65" spans="1:25" hidden="1" x14ac:dyDescent="0.25">
      <c r="A65" s="10">
        <v>19</v>
      </c>
      <c r="B65" s="1">
        <f>IFERROR(VLOOKUP(ТабПозиции[[#This Row],[orderNum]],ТабЗаказы[#Data],MATCH(B$7,ТабЗаказы[#Headers],0),0),"")</f>
        <v>45374</v>
      </c>
      <c r="C65" t="str">
        <f>MONTH(ТабПозиции[[#This Row],[date]])&amp;"/"&amp;YEAR(ТабПозиции[[#This Row],[date]])</f>
        <v>3/2024</v>
      </c>
      <c r="D65" s="1" t="str">
        <f>IFERROR(VLOOKUP(ТабПозиции[[#This Row],[orderNum]],ТабЗаказы[#Data],MATCH(D$7,ТабЗаказы[#Headers],0),0),"")</f>
        <v/>
      </c>
      <c r="E65" s="1" t="str">
        <f>IFERROR(VLOOKUP(ТабПозиции[[#This Row],[orderNum]],ТабЗаказы[#Data],MATCH(E$7,ТабЗаказы[#Headers],0),0),"")</f>
        <v/>
      </c>
      <c r="F65" s="16" t="s">
        <v>609</v>
      </c>
      <c r="G65" s="40" t="s">
        <v>545</v>
      </c>
      <c r="H65" s="17"/>
      <c r="I65" s="18">
        <v>45377</v>
      </c>
      <c r="J65" s="10">
        <v>1</v>
      </c>
      <c r="L65">
        <v>0</v>
      </c>
      <c r="M65" s="10">
        <v>441</v>
      </c>
      <c r="N65">
        <f t="shared" si="0"/>
        <v>441</v>
      </c>
      <c r="P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Row],[orderNum]],ТабПозиции[orderSumm])&gt;1500),ABS(N65*VLOOKUP(ТабПозиции[[#This Row],[orderNum]],ТабЗаказы[#Data],MATCH("Percent",ТабЗаказы[#Headers],0),0))/100,200/COUNTIF(ТабПозиции[orderNum],ТабПозиции[[#This Row],[orderNum]])),0),"")</f>
        <v>66</v>
      </c>
      <c r="Q65">
        <f>IF(OR(ТабПозиции[[#This Row],[item]]="По штрихкоду",ТабПозиции[[#This Row],[item]]="Посылка"),ТабПозиции[[#This Row],[deliverySumm]]+ТабПозиции[[#This Row],[deliveryPost]],SUM(N65:P65))</f>
        <v>507</v>
      </c>
      <c r="R65" s="41">
        <v>507</v>
      </c>
      <c r="S65" s="46">
        <f>ТабПозиции[[#This Row],[totalSumm]]-ТабПозиции[[#This Row],[payment]]</f>
        <v>0</v>
      </c>
      <c r="T65" s="18" t="s">
        <v>580</v>
      </c>
      <c r="U65" s="40" t="s">
        <v>545</v>
      </c>
      <c r="V65" s="40" t="s">
        <v>545</v>
      </c>
      <c r="W65" s="40" t="s">
        <v>545</v>
      </c>
      <c r="X65"/>
      <c r="Y65"/>
    </row>
    <row r="66" spans="1:25" hidden="1" x14ac:dyDescent="0.25">
      <c r="A66" s="10">
        <v>12</v>
      </c>
      <c r="B66" s="1">
        <f>IFERROR(VLOOKUP(ТабПозиции[[#This Row],[orderNum]],ТабЗаказы[#Data],MATCH(B$7,ТабЗаказы[#Headers],0),0),"")</f>
        <v>45368</v>
      </c>
      <c r="C66" t="str">
        <f>MONTH(ТабПозиции[[#This Row],[date]])&amp;"/"&amp;YEAR(ТабПозиции[[#This Row],[date]])</f>
        <v>3/2024</v>
      </c>
      <c r="D66" s="1" t="str">
        <f>IFERROR(VLOOKUP(ТабПозиции[[#This Row],[orderNum]],ТабЗаказы[#Data],MATCH(D$7,ТабЗаказы[#Headers],0),0),"")</f>
        <v/>
      </c>
      <c r="E66" s="1" t="str">
        <f>IFERROR(VLOOKUP(ТабПозиции[[#This Row],[orderNum]],ТабЗаказы[#Data],MATCH(E$7,ТабЗаказы[#Headers],0),0),"")</f>
        <v/>
      </c>
      <c r="F66" s="16" t="s">
        <v>610</v>
      </c>
      <c r="G66" s="40" t="s">
        <v>545</v>
      </c>
      <c r="H66" s="17"/>
      <c r="I66" s="18">
        <v>45379</v>
      </c>
      <c r="J66" s="10">
        <v>1</v>
      </c>
      <c r="L66">
        <v>0</v>
      </c>
      <c r="M66" s="10">
        <v>1184</v>
      </c>
      <c r="N66">
        <f t="shared" si="0"/>
        <v>1184</v>
      </c>
      <c r="P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Row],[orderNum]],ТабПозиции[orderSumm])&gt;1500),ABS(N66*VLOOKUP(ТабПозиции[[#This Row],[orderNum]],ТабЗаказы[#Data],MATCH("Percent",ТабЗаказы[#Headers],0),0))/100,200/COUNTIF(ТабПозиции[orderNum],ТабПозиции[[#This Row],[orderNum]])),0),"")</f>
        <v>178</v>
      </c>
      <c r="Q66">
        <f>IF(OR(ТабПозиции[[#This Row],[item]]="По штрихкоду",ТабПозиции[[#This Row],[item]]="Посылка"),ТабПозиции[[#This Row],[deliverySumm]]+ТабПозиции[[#This Row],[deliveryPost]],SUM(N66:P66))</f>
        <v>1362</v>
      </c>
      <c r="R66" s="41">
        <v>1362</v>
      </c>
      <c r="S66" s="46">
        <f>ТабПозиции[[#This Row],[totalSumm]]-ТабПозиции[[#This Row],[payment]]</f>
        <v>0</v>
      </c>
      <c r="T66" s="18" t="s">
        <v>580</v>
      </c>
      <c r="U66" s="40" t="s">
        <v>545</v>
      </c>
      <c r="V66" s="40" t="s">
        <v>545</v>
      </c>
      <c r="W66" s="40" t="s">
        <v>545</v>
      </c>
      <c r="X66"/>
      <c r="Y66"/>
    </row>
    <row r="67" spans="1:25" hidden="1" x14ac:dyDescent="0.25">
      <c r="A67" s="10">
        <v>21</v>
      </c>
      <c r="B67" s="1">
        <f>IFERROR(VLOOKUP(ТабПозиции[[#This Row],[orderNum]],ТабЗаказы[#Data],MATCH(B$7,ТабЗаказы[#Headers],0),0),"")</f>
        <v>45375</v>
      </c>
      <c r="C67" t="str">
        <f>MONTH(ТабПозиции[[#This Row],[date]])&amp;"/"&amp;YEAR(ТабПозиции[[#This Row],[date]])</f>
        <v>3/2024</v>
      </c>
      <c r="D67" s="1" t="str">
        <f>IFERROR(VLOOKUP(ТабПозиции[[#This Row],[orderNum]],ТабЗаказы[#Data],MATCH(D$7,ТабЗаказы[#Headers],0),0),"")</f>
        <v/>
      </c>
      <c r="E67" s="1" t="str">
        <f>IFERROR(VLOOKUP(ТабПозиции[[#This Row],[orderNum]],ТабЗаказы[#Data],MATCH(E$7,ТабЗаказы[#Headers],0),0),"")</f>
        <v/>
      </c>
      <c r="F67" s="16" t="s">
        <v>611</v>
      </c>
      <c r="G67" s="40" t="s">
        <v>545</v>
      </c>
      <c r="H67" s="17"/>
      <c r="I67" s="18">
        <v>45381</v>
      </c>
      <c r="J67" s="10">
        <v>1</v>
      </c>
      <c r="L67">
        <v>0</v>
      </c>
      <c r="M67" s="10">
        <v>4740</v>
      </c>
      <c r="N67">
        <f t="shared" si="0"/>
        <v>4740</v>
      </c>
      <c r="P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Row],[orderNum]],ТабПозиции[orderSumm])&gt;1500),ABS(N67*VLOOKUP(ТабПозиции[[#This Row],[orderNum]],ТабЗаказы[#Data],MATCH("Percent",ТабЗаказы[#Headers],0),0))/100,200/COUNTIF(ТабПозиции[orderNum],ТабПозиции[[#This Row],[orderNum]])),0),"")</f>
        <v>711</v>
      </c>
      <c r="Q67">
        <f>IF(OR(ТабПозиции[[#This Row],[item]]="По штрихкоду",ТабПозиции[[#This Row],[item]]="Посылка"),ТабПозиции[[#This Row],[deliverySumm]]+ТабПозиции[[#This Row],[deliveryPost]],SUM(N67:P67))</f>
        <v>5451</v>
      </c>
      <c r="R67" s="41">
        <v>5451</v>
      </c>
      <c r="S67" s="46">
        <f>ТабПозиции[[#This Row],[totalSumm]]-ТабПозиции[[#This Row],[payment]]</f>
        <v>0</v>
      </c>
      <c r="T67" s="18" t="s">
        <v>580</v>
      </c>
      <c r="U67" s="40" t="s">
        <v>545</v>
      </c>
      <c r="V67" s="40" t="s">
        <v>545</v>
      </c>
      <c r="W67" s="40" t="s">
        <v>545</v>
      </c>
      <c r="X67"/>
      <c r="Y67"/>
    </row>
    <row r="68" spans="1:25" hidden="1" x14ac:dyDescent="0.25">
      <c r="A68" s="10">
        <v>22</v>
      </c>
      <c r="B68" s="1">
        <f>IFERROR(VLOOKUP(ТабПозиции[[#This Row],[orderNum]],ТабЗаказы[#Data],MATCH(B$7,ТабЗаказы[#Headers],0),0),"")</f>
        <v>45376</v>
      </c>
      <c r="C68" t="str">
        <f>MONTH(ТабПозиции[[#This Row],[date]])&amp;"/"&amp;YEAR(ТабПозиции[[#This Row],[date]])</f>
        <v>3/2024</v>
      </c>
      <c r="D68" s="1" t="str">
        <f>IFERROR(VLOOKUP(ТабПозиции[[#This Row],[orderNum]],ТабЗаказы[#Data],MATCH(D$7,ТабЗаказы[#Headers],0),0),"")</f>
        <v/>
      </c>
      <c r="E68" s="1" t="str">
        <f>IFERROR(VLOOKUP(ТабПозиции[[#This Row],[orderNum]],ТабЗаказы[#Data],MATCH(E$7,ТабЗаказы[#Headers],0),0),"")</f>
        <v/>
      </c>
      <c r="F68" s="10" t="s">
        <v>612</v>
      </c>
      <c r="G68" s="40" t="s">
        <v>545</v>
      </c>
      <c r="I68" s="18">
        <v>45376</v>
      </c>
      <c r="J68" s="10">
        <v>1</v>
      </c>
      <c r="L68">
        <v>0</v>
      </c>
      <c r="M68" s="10">
        <v>8769</v>
      </c>
      <c r="N68">
        <f t="shared" si="0"/>
        <v>8769</v>
      </c>
      <c r="P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Row],[orderNum]],ТабПозиции[orderSumm])&gt;1500),ABS(N68*VLOOKUP(ТабПозиции[[#This Row],[orderNum]],ТабЗаказы[#Data],MATCH("Percent",ТабЗаказы[#Headers],0),0))/100,200/COUNTIF(ТабПозиции[orderNum],ТабПозиции[[#This Row],[orderNum]])),0),"")</f>
        <v>1315</v>
      </c>
      <c r="Q68">
        <f>IF(OR(ТабПозиции[[#This Row],[item]]="По штрихкоду",ТабПозиции[[#This Row],[item]]="Посылка"),ТабПозиции[[#This Row],[deliverySumm]]+ТабПозиции[[#This Row],[deliveryPost]],SUM(N68:P68))</f>
        <v>10084</v>
      </c>
      <c r="R68" s="41">
        <f>8800+1284</f>
        <v>10084</v>
      </c>
      <c r="S68" s="46">
        <f>ТабПозиции[[#This Row],[totalSumm]]-ТабПозиции[[#This Row],[payment]]</f>
        <v>0</v>
      </c>
      <c r="T68" s="18" t="s">
        <v>613</v>
      </c>
      <c r="U68" s="40" t="s">
        <v>545</v>
      </c>
      <c r="V68" s="40" t="s">
        <v>545</v>
      </c>
      <c r="W68" s="40" t="s">
        <v>545</v>
      </c>
      <c r="X68"/>
      <c r="Y68"/>
    </row>
    <row r="69" spans="1:25" hidden="1" x14ac:dyDescent="0.25">
      <c r="A69" s="10">
        <v>22</v>
      </c>
      <c r="B69" s="1">
        <f>IFERROR(VLOOKUP(ТабПозиции[[#This Row],[orderNum]],ТабЗаказы[#Data],MATCH(B$7,ТабЗаказы[#Headers],0),0),"")</f>
        <v>45376</v>
      </c>
      <c r="C69" t="str">
        <f>MONTH(ТабПозиции[[#This Row],[date]])&amp;"/"&amp;YEAR(ТабПозиции[[#This Row],[date]])</f>
        <v>3/2024</v>
      </c>
      <c r="D69" s="1" t="str">
        <f>IFERROR(VLOOKUP(ТабПозиции[[#This Row],[orderNum]],ТабЗаказы[#Data],MATCH(D$7,ТабЗаказы[#Headers],0),0),"")</f>
        <v/>
      </c>
      <c r="E69" s="1" t="str">
        <f>IFERROR(VLOOKUP(ТабПозиции[[#This Row],[orderNum]],ТабЗаказы[#Data],MATCH(E$7,ТабЗаказы[#Headers],0),0),"")</f>
        <v/>
      </c>
      <c r="F69" s="10" t="s">
        <v>543</v>
      </c>
      <c r="G69" s="40" t="s">
        <v>545</v>
      </c>
      <c r="I69" s="18">
        <v>45376</v>
      </c>
      <c r="L69">
        <v>0</v>
      </c>
      <c r="N69">
        <f t="shared" si="0"/>
        <v>0</v>
      </c>
      <c r="P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Row],[orderNum]],ТабПозиции[orderSumm])&gt;1500),ABS(N69*VLOOKUP(ТабПозиции[[#This Row],[orderNum]],ТабЗаказы[#Data],MATCH("Percent",ТабЗаказы[#Headers],0),0))/100,200/COUNTIF(ТабПозиции[orderNum],ТабПозиции[[#This Row],[orderNum]])),0),"")</f>
        <v>0</v>
      </c>
      <c r="Q69">
        <f>IF(OR(ТабПозиции[[#This Row],[item]]="По штрихкоду",ТабПозиции[[#This Row],[item]]="Посылка"),ТабПозиции[[#This Row],[deliverySumm]]+ТабПозиции[[#This Row],[deliveryPost]],SUM(N69:P69))</f>
        <v>0</v>
      </c>
      <c r="S69" s="46">
        <f>ТабПозиции[[#This Row],[totalSumm]]-ТабПозиции[[#This Row],[payment]]</f>
        <v>0</v>
      </c>
      <c r="T69" s="18" t="s">
        <v>613</v>
      </c>
      <c r="U69" s="40" t="s">
        <v>545</v>
      </c>
      <c r="V69" s="40" t="s">
        <v>545</v>
      </c>
      <c r="W69" s="40" t="s">
        <v>545</v>
      </c>
      <c r="X69"/>
      <c r="Y69"/>
    </row>
    <row r="70" spans="1:25" hidden="1" x14ac:dyDescent="0.25">
      <c r="A70" s="10">
        <v>31</v>
      </c>
      <c r="B70" s="1">
        <f>IFERROR(VLOOKUP(ТабПозиции[[#This Row],[orderNum]],ТабЗаказы[#Data],MATCH(B$7,ТабЗаказы[#Headers],0),0),"")</f>
        <v>45378</v>
      </c>
      <c r="C70" t="str">
        <f>MONTH(ТабПозиции[[#This Row],[date]])&amp;"/"&amp;YEAR(ТабПозиции[[#This Row],[date]])</f>
        <v>3/2024</v>
      </c>
      <c r="D70" s="1" t="str">
        <f>IFERROR(VLOOKUP(ТабПозиции[[#This Row],[orderNum]],ТабЗаказы[#Data],MATCH(D$7,ТабЗаказы[#Headers],0),0),"")</f>
        <v/>
      </c>
      <c r="E70" s="1" t="str">
        <f>IFERROR(VLOOKUP(ТабПозиции[[#This Row],[orderNum]],ТабЗаказы[#Data],MATCH(E$7,ТабЗаказы[#Headers],0),0),"")</f>
        <v/>
      </c>
      <c r="F70" s="10" t="s">
        <v>614</v>
      </c>
      <c r="G70" s="40" t="s">
        <v>545</v>
      </c>
      <c r="I70" s="18">
        <v>45376</v>
      </c>
      <c r="J70" s="10">
        <v>1</v>
      </c>
      <c r="L70">
        <v>0</v>
      </c>
      <c r="M70" s="10">
        <v>3749</v>
      </c>
      <c r="N70">
        <f t="shared" si="0"/>
        <v>3749</v>
      </c>
      <c r="P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Row],[orderNum]],ТабПозиции[orderSumm])&gt;1500),ABS(N70*VLOOKUP(ТабПозиции[[#This Row],[orderNum]],ТабЗаказы[#Data],MATCH("Percent",ТабЗаказы[#Headers],0),0))/100,200/COUNTIF(ТабПозиции[orderNum],ТабПозиции[[#This Row],[orderNum]])),0),"")</f>
        <v>562</v>
      </c>
      <c r="Q70">
        <f>IF(OR(ТабПозиции[[#This Row],[item]]="По штрихкоду",ТабПозиции[[#This Row],[item]]="Посылка"),ТабПозиции[[#This Row],[deliverySumm]]+ТабПозиции[[#This Row],[deliveryPost]],SUM(N70:P70))</f>
        <v>4311</v>
      </c>
      <c r="R70" s="41">
        <v>4311</v>
      </c>
      <c r="S70" s="46">
        <f>ТабПозиции[[#This Row],[totalSumm]]-ТабПозиции[[#This Row],[payment]]</f>
        <v>0</v>
      </c>
      <c r="T70" s="18" t="s">
        <v>615</v>
      </c>
      <c r="U70" s="40" t="s">
        <v>545</v>
      </c>
      <c r="V70" s="40" t="s">
        <v>545</v>
      </c>
      <c r="W70" s="40" t="s">
        <v>545</v>
      </c>
      <c r="X70"/>
      <c r="Y70"/>
    </row>
    <row r="71" spans="1:25" hidden="1" x14ac:dyDescent="0.25">
      <c r="A71" s="10">
        <v>23</v>
      </c>
      <c r="B71" s="1">
        <f>IFERROR(VLOOKUP(ТабПозиции[[#This Row],[orderNum]],ТабЗаказы[#Data],MATCH(B$7,ТабЗаказы[#Headers],0),0),"")</f>
        <v>45376</v>
      </c>
      <c r="C71" t="str">
        <f>MONTH(ТабПозиции[[#This Row],[date]])&amp;"/"&amp;YEAR(ТабПозиции[[#This Row],[date]])</f>
        <v>3/2024</v>
      </c>
      <c r="D71" s="1" t="str">
        <f>IFERROR(VLOOKUP(ТабПозиции[[#This Row],[orderNum]],ТабЗаказы[#Data],MATCH(D$7,ТабЗаказы[#Headers],0),0),"")</f>
        <v/>
      </c>
      <c r="E71" s="1" t="str">
        <f>IFERROR(VLOOKUP(ТабПозиции[[#This Row],[orderNum]],ТабЗаказы[#Data],MATCH(E$7,ТабЗаказы[#Headers],0),0),"")</f>
        <v/>
      </c>
      <c r="F71" s="10" t="s">
        <v>616</v>
      </c>
      <c r="G71" s="40" t="s">
        <v>545</v>
      </c>
      <c r="I71" s="18">
        <v>45376</v>
      </c>
      <c r="J71" s="10">
        <v>3</v>
      </c>
      <c r="L71">
        <v>0</v>
      </c>
      <c r="M71" s="10">
        <v>1500</v>
      </c>
      <c r="N71">
        <f>M71*J71+279</f>
        <v>4779</v>
      </c>
      <c r="P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Row],[orderNum]],ТабПозиции[orderSumm])&gt;1500),ABS(N71*VLOOKUP(ТабПозиции[[#This Row],[orderNum]],ТабЗаказы[#Data],MATCH("Percent",ТабЗаказы[#Headers],0),0))/100,200/COUNTIF(ТабПозиции[orderNum],ТабПозиции[[#This Row],[orderNum]])),0),"")</f>
        <v>717</v>
      </c>
      <c r="Q71">
        <f>IF(OR(ТабПозиции[[#This Row],[item]]="По штрихкоду",ТабПозиции[[#This Row],[item]]="Посылка"),ТабПозиции[[#This Row],[deliverySumm]]+ТабПозиции[[#This Row],[deliveryPost]],SUM(N71:P71))</f>
        <v>5496</v>
      </c>
      <c r="R71" s="41">
        <v>5496</v>
      </c>
      <c r="S71" s="46">
        <f>ТабПозиции[[#This Row],[totalSumm]]-ТабПозиции[[#This Row],[payment]]</f>
        <v>0</v>
      </c>
      <c r="T71" s="18" t="s">
        <v>617</v>
      </c>
      <c r="U71" s="40" t="s">
        <v>545</v>
      </c>
      <c r="V71" s="40" t="s">
        <v>545</v>
      </c>
      <c r="W71" s="40" t="s">
        <v>545</v>
      </c>
      <c r="X71"/>
      <c r="Y71"/>
    </row>
    <row r="72" spans="1:25" hidden="1" x14ac:dyDescent="0.25">
      <c r="A72" s="10">
        <v>23</v>
      </c>
      <c r="B72" s="1">
        <f>IFERROR(VLOOKUP(ТабПозиции[[#This Row],[orderNum]],ТабЗаказы[#Data],MATCH(B$7,ТабЗаказы[#Headers],0),0),"")</f>
        <v>45376</v>
      </c>
      <c r="C72" t="str">
        <f>MONTH(ТабПозиции[[#This Row],[date]])&amp;"/"&amp;YEAR(ТабПозиции[[#This Row],[date]])</f>
        <v>3/2024</v>
      </c>
      <c r="D72" s="1" t="str">
        <f>IFERROR(VLOOKUP(ТабПозиции[[#This Row],[orderNum]],ТабЗаказы[#Data],MATCH(D$7,ТабЗаказы[#Headers],0),0),"")</f>
        <v/>
      </c>
      <c r="E72" s="1" t="str">
        <f>IFERROR(VLOOKUP(ТабПозиции[[#This Row],[orderNum]],ТабЗаказы[#Data],MATCH(E$7,ТабЗаказы[#Headers],0),0),"")</f>
        <v/>
      </c>
      <c r="F72" s="16" t="s">
        <v>618</v>
      </c>
      <c r="G72" s="40" t="s">
        <v>545</v>
      </c>
      <c r="H72" s="17"/>
      <c r="I72" s="18">
        <v>45381</v>
      </c>
      <c r="J72" s="10">
        <v>1</v>
      </c>
      <c r="L72">
        <v>0</v>
      </c>
      <c r="M72" s="10">
        <v>355</v>
      </c>
      <c r="N72">
        <f>M72*J72</f>
        <v>355</v>
      </c>
      <c r="P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Row],[orderNum]],ТабПозиции[orderSumm])&gt;1500),ABS(N72*VLOOKUP(ТабПозиции[[#This Row],[orderNum]],ТабЗаказы[#Data],MATCH("Percent",ТабЗаказы[#Headers],0),0))/100,200/COUNTIF(ТабПозиции[orderNum],ТабПозиции[[#This Row],[orderNum]])),0),"")</f>
        <v>53</v>
      </c>
      <c r="Q72">
        <f>IF(OR(ТабПозиции[[#This Row],[item]]="По штрихкоду",ТабПозиции[[#This Row],[item]]="Посылка"),ТабПозиции[[#This Row],[deliverySumm]]+ТабПозиции[[#This Row],[deliveryPost]],SUM(N72:P72))</f>
        <v>408</v>
      </c>
      <c r="R72" s="41">
        <v>408</v>
      </c>
      <c r="S72" s="46">
        <f>ТабПозиции[[#This Row],[totalSumm]]-ТабПозиции[[#This Row],[payment]]</f>
        <v>0</v>
      </c>
      <c r="T72" s="18" t="s">
        <v>563</v>
      </c>
      <c r="U72" s="40" t="s">
        <v>545</v>
      </c>
      <c r="V72" s="40" t="s">
        <v>545</v>
      </c>
      <c r="W72" s="40" t="s">
        <v>545</v>
      </c>
      <c r="X72"/>
      <c r="Y72"/>
    </row>
    <row r="73" spans="1:25" hidden="1" x14ac:dyDescent="0.25">
      <c r="A73" s="10">
        <v>23</v>
      </c>
      <c r="B73" s="1">
        <f>IFERROR(VLOOKUP(ТабПозиции[[#This Row],[orderNum]],ТабЗаказы[#Data],MATCH(B$7,ТабЗаказы[#Headers],0),0),"")</f>
        <v>45376</v>
      </c>
      <c r="C73" t="str">
        <f>MONTH(ТабПозиции[[#This Row],[date]])&amp;"/"&amp;YEAR(ТабПозиции[[#This Row],[date]])</f>
        <v>3/2024</v>
      </c>
      <c r="D73" s="1" t="str">
        <f>IFERROR(VLOOKUP(ТабПозиции[[#This Row],[orderNum]],ТабЗаказы[#Data],MATCH(D$7,ТабЗаказы[#Headers],0),0),"")</f>
        <v/>
      </c>
      <c r="E73" s="1" t="str">
        <f>IFERROR(VLOOKUP(ТабПозиции[[#This Row],[orderNum]],ТабЗаказы[#Data],MATCH(E$7,ТабЗаказы[#Headers],0),0),"")</f>
        <v/>
      </c>
      <c r="F73" s="16" t="s">
        <v>619</v>
      </c>
      <c r="G73" s="40" t="s">
        <v>545</v>
      </c>
      <c r="H73" s="17"/>
      <c r="I73" s="18">
        <v>45381</v>
      </c>
      <c r="J73" s="10">
        <v>1</v>
      </c>
      <c r="L73">
        <v>0</v>
      </c>
      <c r="M73" s="10">
        <v>403</v>
      </c>
      <c r="N73">
        <f t="shared" si="0"/>
        <v>403</v>
      </c>
      <c r="P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Row],[orderNum]],ТабПозиции[orderSumm])&gt;1500),ABS(N73*VLOOKUP(ТабПозиции[[#This Row],[orderNum]],ТабЗаказы[#Data],MATCH("Percent",ТабЗаказы[#Headers],0),0))/100,200/COUNTIF(ТабПозиции[orderNum],ТабПозиции[[#This Row],[orderNum]])),0),"")</f>
        <v>60</v>
      </c>
      <c r="Q73">
        <f>IF(OR(ТабПозиции[[#This Row],[item]]="По штрихкоду",ТабПозиции[[#This Row],[item]]="Посылка"),ТабПозиции[[#This Row],[deliverySumm]]+ТабПозиции[[#This Row],[deliveryPost]],SUM(N73:P73))</f>
        <v>463</v>
      </c>
      <c r="R73" s="41">
        <v>463</v>
      </c>
      <c r="S73" s="46">
        <f>ТабПозиции[[#This Row],[totalSumm]]-ТабПозиции[[#This Row],[payment]]</f>
        <v>0</v>
      </c>
      <c r="T73" s="18" t="s">
        <v>563</v>
      </c>
      <c r="U73" s="40" t="s">
        <v>545</v>
      </c>
      <c r="V73" s="40" t="s">
        <v>545</v>
      </c>
      <c r="W73" s="40" t="s">
        <v>545</v>
      </c>
      <c r="X73"/>
      <c r="Y73"/>
    </row>
    <row r="74" spans="1:25" hidden="1" x14ac:dyDescent="0.25">
      <c r="A74" s="10">
        <v>24</v>
      </c>
      <c r="B74" s="1">
        <f>IFERROR(VLOOKUP(ТабПозиции[[#This Row],[orderNum]],ТабЗаказы[#Data],MATCH(B$7,ТабЗаказы[#Headers],0),0),"")</f>
        <v>45376</v>
      </c>
      <c r="C74" t="str">
        <f>MONTH(ТабПозиции[[#This Row],[date]])&amp;"/"&amp;YEAR(ТабПозиции[[#This Row],[date]])</f>
        <v>3/2024</v>
      </c>
      <c r="D74" s="1" t="str">
        <f>IFERROR(VLOOKUP(ТабПозиции[[#This Row],[orderNum]],ТабЗаказы[#Data],MATCH(D$7,ТабЗаказы[#Headers],0),0),"")</f>
        <v/>
      </c>
      <c r="E74" s="1" t="str">
        <f>IFERROR(VLOOKUP(ТабПозиции[[#This Row],[orderNum]],ТабЗаказы[#Data],MATCH(E$7,ТабЗаказы[#Headers],0),0),"")</f>
        <v/>
      </c>
      <c r="F74" s="16" t="s">
        <v>620</v>
      </c>
      <c r="G74" s="40" t="s">
        <v>545</v>
      </c>
      <c r="H74" s="17"/>
      <c r="I74" s="18">
        <v>45380</v>
      </c>
      <c r="J74" s="10">
        <v>1</v>
      </c>
      <c r="L74">
        <v>0</v>
      </c>
      <c r="M74" s="10">
        <v>533</v>
      </c>
      <c r="N74">
        <f t="shared" si="0"/>
        <v>533</v>
      </c>
      <c r="P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Row],[orderNum]],ТабПозиции[orderSumm])&gt;1500),ABS(N74*VLOOKUP(ТабПозиции[[#This Row],[orderNum]],ТабЗаказы[#Data],MATCH("Percent",ТабЗаказы[#Headers],0),0))/100,200/COUNTIF(ТабПозиции[orderNum],ТабПозиции[[#This Row],[orderNum]])),0),"")</f>
        <v>80</v>
      </c>
      <c r="Q74">
        <f>IF(OR(ТабПозиции[[#This Row],[item]]="По штрихкоду",ТабПозиции[[#This Row],[item]]="Посылка"),ТабПозиции[[#This Row],[deliverySumm]]+ТабПозиции[[#This Row],[deliveryPost]],SUM(N74:P74))</f>
        <v>613</v>
      </c>
      <c r="R74" s="41">
        <v>613</v>
      </c>
      <c r="S74" s="46">
        <f>ТабПозиции[[#This Row],[totalSumm]]-ТабПозиции[[#This Row],[payment]]</f>
        <v>0</v>
      </c>
      <c r="T74" s="18" t="s">
        <v>563</v>
      </c>
      <c r="U74" s="40" t="s">
        <v>545</v>
      </c>
      <c r="V74" s="40" t="s">
        <v>545</v>
      </c>
      <c r="W74" s="40" t="s">
        <v>545</v>
      </c>
      <c r="X74"/>
      <c r="Y74"/>
    </row>
    <row r="75" spans="1:25" hidden="1" x14ac:dyDescent="0.25">
      <c r="A75" s="10">
        <v>24</v>
      </c>
      <c r="B75" s="1">
        <f>IFERROR(VLOOKUP(ТабПозиции[[#This Row],[orderNum]],ТабЗаказы[#Data],MATCH(B$7,ТабЗаказы[#Headers],0),0),"")</f>
        <v>45376</v>
      </c>
      <c r="C75" t="str">
        <f>MONTH(ТабПозиции[[#This Row],[date]])&amp;"/"&amp;YEAR(ТабПозиции[[#This Row],[date]])</f>
        <v>3/2024</v>
      </c>
      <c r="D75" s="1" t="str">
        <f>IFERROR(VLOOKUP(ТабПозиции[[#This Row],[orderNum]],ТабЗаказы[#Data],MATCH(D$7,ТабЗаказы[#Headers],0),0),"")</f>
        <v/>
      </c>
      <c r="E75" s="1" t="str">
        <f>IFERROR(VLOOKUP(ТабПозиции[[#This Row],[orderNum]],ТабЗаказы[#Data],MATCH(E$7,ТабЗаказы[#Headers],0),0),"")</f>
        <v/>
      </c>
      <c r="F75" s="16" t="s">
        <v>621</v>
      </c>
      <c r="G75" s="40" t="s">
        <v>545</v>
      </c>
      <c r="H75" s="17"/>
      <c r="I75" s="18">
        <v>45379</v>
      </c>
      <c r="J75" s="10">
        <v>1</v>
      </c>
      <c r="L75">
        <v>0</v>
      </c>
      <c r="M75" s="10">
        <v>117</v>
      </c>
      <c r="N75">
        <f t="shared" si="0"/>
        <v>117</v>
      </c>
      <c r="P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Row],[orderNum]],ТабПозиции[orderSumm])&gt;1500),ABS(N75*VLOOKUP(ТабПозиции[[#This Row],[orderNum]],ТабЗаказы[#Data],MATCH("Percent",ТабЗаказы[#Headers],0),0))/100,200/COUNTIF(ТабПозиции[orderNum],ТабПозиции[[#This Row],[orderNum]])),0),"")</f>
        <v>18</v>
      </c>
      <c r="Q75">
        <f>IF(OR(ТабПозиции[[#This Row],[item]]="По штрихкоду",ТабПозиции[[#This Row],[item]]="Посылка"),ТабПозиции[[#This Row],[deliverySumm]]+ТабПозиции[[#This Row],[deliveryPost]],SUM(N75:P75))</f>
        <v>135</v>
      </c>
      <c r="R75" s="41">
        <v>135</v>
      </c>
      <c r="S75" s="46">
        <f>ТабПозиции[[#This Row],[totalSumm]]-ТабПозиции[[#This Row],[payment]]</f>
        <v>0</v>
      </c>
      <c r="T75" s="18" t="s">
        <v>563</v>
      </c>
      <c r="U75" s="40" t="s">
        <v>545</v>
      </c>
      <c r="V75" s="40" t="s">
        <v>545</v>
      </c>
      <c r="W75" s="40" t="s">
        <v>545</v>
      </c>
      <c r="X75"/>
      <c r="Y75"/>
    </row>
    <row r="76" spans="1:25" hidden="1" x14ac:dyDescent="0.25">
      <c r="A76" s="10">
        <v>24</v>
      </c>
      <c r="B76" s="1">
        <f>IFERROR(VLOOKUP(ТабПозиции[[#This Row],[orderNum]],ТабЗаказы[#Data],MATCH(B$7,ТабЗаказы[#Headers],0),0),"")</f>
        <v>45376</v>
      </c>
      <c r="C76" t="str">
        <f>MONTH(ТабПозиции[[#This Row],[date]])&amp;"/"&amp;YEAR(ТабПозиции[[#This Row],[date]])</f>
        <v>3/2024</v>
      </c>
      <c r="D76" s="1" t="str">
        <f>IFERROR(VLOOKUP(ТабПозиции[[#This Row],[orderNum]],ТабЗаказы[#Data],MATCH(D$7,ТабЗаказы[#Headers],0),0),"")</f>
        <v/>
      </c>
      <c r="E76" s="1" t="str">
        <f>IFERROR(VLOOKUP(ТабПозиции[[#This Row],[orderNum]],ТабЗаказы[#Data],MATCH(E$7,ТабЗаказы[#Headers],0),0),"")</f>
        <v/>
      </c>
      <c r="F76" s="16" t="s">
        <v>622</v>
      </c>
      <c r="G76" s="40" t="s">
        <v>545</v>
      </c>
      <c r="H76" s="17"/>
      <c r="I76" s="18">
        <v>45378</v>
      </c>
      <c r="J76" s="10">
        <v>1</v>
      </c>
      <c r="L76">
        <v>0</v>
      </c>
      <c r="M76" s="10">
        <v>205</v>
      </c>
      <c r="N76">
        <f t="shared" ref="N76:N139" si="1">M76*J76</f>
        <v>205</v>
      </c>
      <c r="P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Row],[orderNum]],ТабПозиции[orderSumm])&gt;1500),ABS(N76*VLOOKUP(ТабПозиции[[#This Row],[orderNum]],ТабЗаказы[#Data],MATCH("Percent",ТабЗаказы[#Headers],0),0))/100,200/COUNTIF(ТабПозиции[orderNum],ТабПозиции[[#This Row],[orderNum]])),0),"")</f>
        <v>31</v>
      </c>
      <c r="Q76">
        <f>IF(OR(ТабПозиции[[#This Row],[item]]="По штрихкоду",ТабПозиции[[#This Row],[item]]="Посылка"),ТабПозиции[[#This Row],[deliverySumm]]+ТабПозиции[[#This Row],[deliveryPost]],SUM(N76:P76))</f>
        <v>236</v>
      </c>
      <c r="R76" s="41">
        <v>236</v>
      </c>
      <c r="S76" s="46">
        <f>ТабПозиции[[#This Row],[totalSumm]]-ТабПозиции[[#This Row],[payment]]</f>
        <v>0</v>
      </c>
      <c r="T76" s="18" t="s">
        <v>563</v>
      </c>
      <c r="U76" s="40" t="s">
        <v>545</v>
      </c>
      <c r="V76" s="40" t="s">
        <v>545</v>
      </c>
      <c r="W76" s="40" t="s">
        <v>545</v>
      </c>
      <c r="X76"/>
      <c r="Y76"/>
    </row>
    <row r="77" spans="1:25" hidden="1" x14ac:dyDescent="0.25">
      <c r="A77" s="10">
        <v>24</v>
      </c>
      <c r="B77" s="1">
        <f>IFERROR(VLOOKUP(ТабПозиции[[#This Row],[orderNum]],ТабЗаказы[#Data],MATCH(B$7,ТабЗаказы[#Headers],0),0),"")</f>
        <v>45376</v>
      </c>
      <c r="C77" t="str">
        <f>MONTH(ТабПозиции[[#This Row],[date]])&amp;"/"&amp;YEAR(ТабПозиции[[#This Row],[date]])</f>
        <v>3/2024</v>
      </c>
      <c r="D77" s="1" t="str">
        <f>IFERROR(VLOOKUP(ТабПозиции[[#This Row],[orderNum]],ТабЗаказы[#Data],MATCH(D$7,ТабЗаказы[#Headers],0),0),"")</f>
        <v/>
      </c>
      <c r="E77" s="1" t="str">
        <f>IFERROR(VLOOKUP(ТабПозиции[[#This Row],[orderNum]],ТабЗаказы[#Data],MATCH(E$7,ТабЗаказы[#Headers],0),0),"")</f>
        <v/>
      </c>
      <c r="F77" s="16" t="s">
        <v>623</v>
      </c>
      <c r="G77" s="40" t="s">
        <v>545</v>
      </c>
      <c r="H77" s="17"/>
      <c r="I77" s="18">
        <v>45381</v>
      </c>
      <c r="J77" s="10">
        <v>1</v>
      </c>
      <c r="L77">
        <v>0</v>
      </c>
      <c r="M77" s="10">
        <v>174</v>
      </c>
      <c r="N77">
        <f t="shared" si="1"/>
        <v>174</v>
      </c>
      <c r="P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Row],[orderNum]],ТабПозиции[orderSumm])&gt;1500),ABS(N77*VLOOKUP(ТабПозиции[[#This Row],[orderNum]],ТабЗаказы[#Data],MATCH("Percent",ТабЗаказы[#Headers],0),0))/100,200/COUNTIF(ТабПозиции[orderNum],ТабПозиции[[#This Row],[orderNum]])),0),"")</f>
        <v>26</v>
      </c>
      <c r="Q77">
        <f>IF(OR(ТабПозиции[[#This Row],[item]]="По штрихкоду",ТабПозиции[[#This Row],[item]]="Посылка"),ТабПозиции[[#This Row],[deliverySumm]]+ТабПозиции[[#This Row],[deliveryPost]],SUM(N77:P77))</f>
        <v>200</v>
      </c>
      <c r="R77" s="41">
        <v>200</v>
      </c>
      <c r="S77" s="46">
        <f>ТабПозиции[[#This Row],[totalSumm]]-ТабПозиции[[#This Row],[payment]]</f>
        <v>0</v>
      </c>
      <c r="T77" s="18" t="s">
        <v>580</v>
      </c>
      <c r="U77" s="40" t="s">
        <v>545</v>
      </c>
      <c r="V77" s="40" t="s">
        <v>545</v>
      </c>
      <c r="W77" s="40" t="s">
        <v>545</v>
      </c>
      <c r="X77"/>
      <c r="Y77"/>
    </row>
    <row r="78" spans="1:25" hidden="1" x14ac:dyDescent="0.25">
      <c r="A78" s="10">
        <v>24</v>
      </c>
      <c r="B78" s="1">
        <f>IFERROR(VLOOKUP(ТабПозиции[[#This Row],[orderNum]],ТабЗаказы[#Data],MATCH(B$7,ТабЗаказы[#Headers],0),0),"")</f>
        <v>45376</v>
      </c>
      <c r="C78" t="str">
        <f>MONTH(ТабПозиции[[#This Row],[date]])&amp;"/"&amp;YEAR(ТабПозиции[[#This Row],[date]])</f>
        <v>3/2024</v>
      </c>
      <c r="D78" s="1" t="str">
        <f>IFERROR(VLOOKUP(ТабПозиции[[#This Row],[orderNum]],ТабЗаказы[#Data],MATCH(D$7,ТабЗаказы[#Headers],0),0),"")</f>
        <v/>
      </c>
      <c r="E78" s="1" t="str">
        <f>IFERROR(VLOOKUP(ТабПозиции[[#This Row],[orderNum]],ТабЗаказы[#Data],MATCH(E$7,ТабЗаказы[#Headers],0),0),"")</f>
        <v/>
      </c>
      <c r="F78" s="16" t="s">
        <v>624</v>
      </c>
      <c r="G78" s="40" t="s">
        <v>545</v>
      </c>
      <c r="H78" s="17"/>
      <c r="I78" s="18">
        <v>45380</v>
      </c>
      <c r="J78" s="10">
        <v>1</v>
      </c>
      <c r="L78">
        <v>0</v>
      </c>
      <c r="M78" s="10">
        <v>131</v>
      </c>
      <c r="N78">
        <f t="shared" si="1"/>
        <v>131</v>
      </c>
      <c r="P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Row],[orderNum]],ТабПозиции[orderSumm])&gt;1500),ABS(N78*VLOOKUP(ТабПозиции[[#This Row],[orderNum]],ТабЗаказы[#Data],MATCH("Percent",ТабЗаказы[#Headers],0),0))/100,200/COUNTIF(ТабПозиции[orderNum],ТабПозиции[[#This Row],[orderNum]])),0),"")</f>
        <v>20</v>
      </c>
      <c r="Q78">
        <f>IF(OR(ТабПозиции[[#This Row],[item]]="По штрихкоду",ТабПозиции[[#This Row],[item]]="Посылка"),ТабПозиции[[#This Row],[deliverySumm]]+ТабПозиции[[#This Row],[deliveryPost]],SUM(N78:P78))</f>
        <v>151</v>
      </c>
      <c r="R78" s="41">
        <v>151</v>
      </c>
      <c r="S78" s="46">
        <f>ТабПозиции[[#This Row],[totalSumm]]-ТабПозиции[[#This Row],[payment]]</f>
        <v>0</v>
      </c>
      <c r="T78" s="18" t="s">
        <v>580</v>
      </c>
      <c r="U78" s="40" t="s">
        <v>545</v>
      </c>
      <c r="V78" s="40" t="s">
        <v>545</v>
      </c>
      <c r="W78" s="40" t="s">
        <v>545</v>
      </c>
      <c r="X78"/>
      <c r="Y78"/>
    </row>
    <row r="79" spans="1:25" hidden="1" x14ac:dyDescent="0.25">
      <c r="A79" s="10">
        <v>24</v>
      </c>
      <c r="B79" s="1">
        <f>IFERROR(VLOOKUP(ТабПозиции[[#This Row],[orderNum]],ТабЗаказы[#Data],MATCH(B$7,ТабЗаказы[#Headers],0),0),"")</f>
        <v>45376</v>
      </c>
      <c r="C79" t="str">
        <f>MONTH(ТабПозиции[[#This Row],[date]])&amp;"/"&amp;YEAR(ТабПозиции[[#This Row],[date]])</f>
        <v>3/2024</v>
      </c>
      <c r="D79" s="1" t="str">
        <f>IFERROR(VLOOKUP(ТабПозиции[[#This Row],[orderNum]],ТабЗаказы[#Data],MATCH(D$7,ТабЗаказы[#Headers],0),0),"")</f>
        <v/>
      </c>
      <c r="E79" s="1" t="str">
        <f>IFERROR(VLOOKUP(ТабПозиции[[#This Row],[orderNum]],ТабЗаказы[#Data],MATCH(E$7,ТабЗаказы[#Headers],0),0),"")</f>
        <v/>
      </c>
      <c r="F79" s="16" t="s">
        <v>625</v>
      </c>
      <c r="G79" s="40" t="s">
        <v>545</v>
      </c>
      <c r="H79" s="17"/>
      <c r="I79" s="18">
        <v>45378</v>
      </c>
      <c r="J79" s="10">
        <v>1</v>
      </c>
      <c r="L79">
        <v>0</v>
      </c>
      <c r="M79" s="10">
        <v>265</v>
      </c>
      <c r="N79">
        <f t="shared" si="1"/>
        <v>265</v>
      </c>
      <c r="P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Row],[orderNum]],ТабПозиции[orderSumm])&gt;1500),ABS(N79*VLOOKUP(ТабПозиции[[#This Row],[orderNum]],ТабЗаказы[#Data],MATCH("Percent",ТабЗаказы[#Headers],0),0))/100,200/COUNTIF(ТабПозиции[orderNum],ТабПозиции[[#This Row],[orderNum]])),0),"")</f>
        <v>40</v>
      </c>
      <c r="Q79">
        <f>IF(OR(ТабПозиции[[#This Row],[item]]="По штрихкоду",ТабПозиции[[#This Row],[item]]="Посылка"),ТабПозиции[[#This Row],[deliverySumm]]+ТабПозиции[[#This Row],[deliveryPost]],SUM(N79:P79))</f>
        <v>305</v>
      </c>
      <c r="R79" s="41">
        <v>305</v>
      </c>
      <c r="S79" s="46">
        <f>ТабПозиции[[#This Row],[totalSumm]]-ТабПозиции[[#This Row],[payment]]</f>
        <v>0</v>
      </c>
      <c r="T79" s="18" t="s">
        <v>563</v>
      </c>
      <c r="U79" s="40" t="s">
        <v>545</v>
      </c>
      <c r="V79" s="40" t="s">
        <v>545</v>
      </c>
      <c r="W79" s="40" t="s">
        <v>545</v>
      </c>
      <c r="X79"/>
      <c r="Y79"/>
    </row>
    <row r="80" spans="1:25" hidden="1" x14ac:dyDescent="0.25">
      <c r="A80" s="10">
        <v>24</v>
      </c>
      <c r="B80" s="1">
        <f>IFERROR(VLOOKUP(ТабПозиции[[#This Row],[orderNum]],ТабЗаказы[#Data],MATCH(B$7,ТабЗаказы[#Headers],0),0),"")</f>
        <v>45376</v>
      </c>
      <c r="C80" t="str">
        <f>MONTH(ТабПозиции[[#This Row],[date]])&amp;"/"&amp;YEAR(ТабПозиции[[#This Row],[date]])</f>
        <v>3/2024</v>
      </c>
      <c r="D80" s="1" t="str">
        <f>IFERROR(VLOOKUP(ТабПозиции[[#This Row],[orderNum]],ТабЗаказы[#Data],MATCH(D$7,ТабЗаказы[#Headers],0),0),"")</f>
        <v/>
      </c>
      <c r="E80" s="1" t="str">
        <f>IFERROR(VLOOKUP(ТабПозиции[[#This Row],[orderNum]],ТабЗаказы[#Data],MATCH(E$7,ТабЗаказы[#Headers],0),0),"")</f>
        <v/>
      </c>
      <c r="F80" s="16" t="s">
        <v>626</v>
      </c>
      <c r="G80" s="40" t="s">
        <v>545</v>
      </c>
      <c r="H80" s="17"/>
      <c r="I80" s="18">
        <v>45378</v>
      </c>
      <c r="J80" s="10">
        <v>1</v>
      </c>
      <c r="L80">
        <v>0</v>
      </c>
      <c r="M80" s="10">
        <v>250</v>
      </c>
      <c r="N80">
        <f t="shared" si="1"/>
        <v>250</v>
      </c>
      <c r="P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Row],[orderNum]],ТабПозиции[orderSumm])&gt;1500),ABS(N80*VLOOKUP(ТабПозиции[[#This Row],[orderNum]],ТабЗаказы[#Data],MATCH("Percent",ТабЗаказы[#Headers],0),0))/100,200/COUNTIF(ТабПозиции[orderNum],ТабПозиции[[#This Row],[orderNum]])),0),"")</f>
        <v>38</v>
      </c>
      <c r="Q80">
        <f>IF(OR(ТабПозиции[[#This Row],[item]]="По штрихкоду",ТабПозиции[[#This Row],[item]]="Посылка"),ТабПозиции[[#This Row],[deliverySumm]]+ТабПозиции[[#This Row],[deliveryPost]],SUM(N80:P80))</f>
        <v>288</v>
      </c>
      <c r="R80" s="41">
        <v>288</v>
      </c>
      <c r="S80" s="46">
        <f>ТабПозиции[[#This Row],[totalSumm]]-ТабПозиции[[#This Row],[payment]]</f>
        <v>0</v>
      </c>
      <c r="T80" s="18" t="s">
        <v>563</v>
      </c>
      <c r="U80" s="40" t="s">
        <v>545</v>
      </c>
      <c r="V80" s="40" t="s">
        <v>545</v>
      </c>
      <c r="W80" s="40" t="s">
        <v>545</v>
      </c>
      <c r="X80"/>
      <c r="Y80"/>
    </row>
    <row r="81" spans="1:25" hidden="1" x14ac:dyDescent="0.25">
      <c r="A81" s="10">
        <v>24</v>
      </c>
      <c r="B81" s="1">
        <f>IFERROR(VLOOKUP(ТабПозиции[[#This Row],[orderNum]],ТабЗаказы[#Data],MATCH(B$7,ТабЗаказы[#Headers],0),0),"")</f>
        <v>45376</v>
      </c>
      <c r="C81" t="str">
        <f>MONTH(ТабПозиции[[#This Row],[date]])&amp;"/"&amp;YEAR(ТабПозиции[[#This Row],[date]])</f>
        <v>3/2024</v>
      </c>
      <c r="D81" s="1" t="str">
        <f>IFERROR(VLOOKUP(ТабПозиции[[#This Row],[orderNum]],ТабЗаказы[#Data],MATCH(D$7,ТабЗаказы[#Headers],0),0),"")</f>
        <v/>
      </c>
      <c r="E81" s="1" t="str">
        <f>IFERROR(VLOOKUP(ТабПозиции[[#This Row],[orderNum]],ТабЗаказы[#Data],MATCH(E$7,ТабЗаказы[#Headers],0),0),"")</f>
        <v/>
      </c>
      <c r="F81" s="16" t="s">
        <v>627</v>
      </c>
      <c r="G81" s="40" t="s">
        <v>545</v>
      </c>
      <c r="H81" s="17"/>
      <c r="I81" s="18">
        <v>45378</v>
      </c>
      <c r="J81" s="10">
        <v>1</v>
      </c>
      <c r="L81">
        <v>0</v>
      </c>
      <c r="M81" s="10">
        <v>292</v>
      </c>
      <c r="N81">
        <f t="shared" si="1"/>
        <v>292</v>
      </c>
      <c r="P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Row],[orderNum]],ТабПозиции[orderSumm])&gt;1500),ABS(N81*VLOOKUP(ТабПозиции[[#This Row],[orderNum]],ТабЗаказы[#Data],MATCH("Percent",ТабЗаказы[#Headers],0),0))/100,200/COUNTIF(ТабПозиции[orderNum],ТабПозиции[[#This Row],[orderNum]])),0),"")</f>
        <v>44</v>
      </c>
      <c r="Q81">
        <f>IF(OR(ТабПозиции[[#This Row],[item]]="По штрихкоду",ТабПозиции[[#This Row],[item]]="Посылка"),ТабПозиции[[#This Row],[deliverySumm]]+ТабПозиции[[#This Row],[deliveryPost]],SUM(N81:P81))</f>
        <v>336</v>
      </c>
      <c r="R81" s="41">
        <v>336</v>
      </c>
      <c r="S81" s="46">
        <f>ТабПозиции[[#This Row],[totalSumm]]-ТабПозиции[[#This Row],[payment]]</f>
        <v>0</v>
      </c>
      <c r="T81" s="18" t="s">
        <v>563</v>
      </c>
      <c r="U81" s="40" t="s">
        <v>545</v>
      </c>
      <c r="V81" s="40" t="s">
        <v>545</v>
      </c>
      <c r="W81" s="40" t="s">
        <v>545</v>
      </c>
      <c r="X81"/>
      <c r="Y81"/>
    </row>
    <row r="82" spans="1:25" hidden="1" x14ac:dyDescent="0.25">
      <c r="A82" s="10">
        <v>24</v>
      </c>
      <c r="B82" s="1">
        <f>IFERROR(VLOOKUP(ТабПозиции[[#This Row],[orderNum]],ТабЗаказы[#Data],MATCH(B$7,ТабЗаказы[#Headers],0),0),"")</f>
        <v>45376</v>
      </c>
      <c r="C82" t="str">
        <f>MONTH(ТабПозиции[[#This Row],[date]])&amp;"/"&amp;YEAR(ТабПозиции[[#This Row],[date]])</f>
        <v>3/2024</v>
      </c>
      <c r="D82" s="1" t="str">
        <f>IFERROR(VLOOKUP(ТабПозиции[[#This Row],[orderNum]],ТабЗаказы[#Data],MATCH(D$7,ТабЗаказы[#Headers],0),0),"")</f>
        <v/>
      </c>
      <c r="E82" s="1" t="str">
        <f>IFERROR(VLOOKUP(ТабПозиции[[#This Row],[orderNum]],ТабЗаказы[#Data],MATCH(E$7,ТабЗаказы[#Headers],0),0),"")</f>
        <v/>
      </c>
      <c r="F82" s="16" t="s">
        <v>628</v>
      </c>
      <c r="G82" s="40" t="s">
        <v>545</v>
      </c>
      <c r="H82" s="17"/>
      <c r="I82" s="18">
        <v>45379</v>
      </c>
      <c r="J82" s="10">
        <v>1</v>
      </c>
      <c r="L82">
        <v>0</v>
      </c>
      <c r="M82" s="10">
        <v>719</v>
      </c>
      <c r="N82">
        <f t="shared" si="1"/>
        <v>719</v>
      </c>
      <c r="P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Row],[orderNum]],ТабПозиции[orderSumm])&gt;1500),ABS(N82*VLOOKUP(ТабПозиции[[#This Row],[orderNum]],ТабЗаказы[#Data],MATCH("Percent",ТабЗаказы[#Headers],0),0))/100,200/COUNTIF(ТабПозиции[orderNum],ТабПозиции[[#This Row],[orderNum]])),0),"")</f>
        <v>108</v>
      </c>
      <c r="Q82">
        <f>IF(OR(ТабПозиции[[#This Row],[item]]="По штрихкоду",ТабПозиции[[#This Row],[item]]="Посылка"),ТабПозиции[[#This Row],[deliverySumm]]+ТабПозиции[[#This Row],[deliveryPost]],SUM(N82:P82))</f>
        <v>827</v>
      </c>
      <c r="R82" s="41">
        <v>827</v>
      </c>
      <c r="S82" s="46">
        <f>ТабПозиции[[#This Row],[totalSumm]]-ТабПозиции[[#This Row],[payment]]</f>
        <v>0</v>
      </c>
      <c r="T82" s="18" t="s">
        <v>563</v>
      </c>
      <c r="U82" s="40" t="s">
        <v>545</v>
      </c>
      <c r="V82" s="40" t="s">
        <v>545</v>
      </c>
      <c r="W82" s="40" t="s">
        <v>545</v>
      </c>
      <c r="X82"/>
      <c r="Y82"/>
    </row>
    <row r="83" spans="1:25" hidden="1" x14ac:dyDescent="0.25">
      <c r="A83" s="10">
        <v>24</v>
      </c>
      <c r="B83" s="1">
        <f>IFERROR(VLOOKUP(ТабПозиции[[#This Row],[orderNum]],ТабЗаказы[#Data],MATCH(B$7,ТабЗаказы[#Headers],0),0),"")</f>
        <v>45376</v>
      </c>
      <c r="C83" t="str">
        <f>MONTH(ТабПозиции[[#This Row],[date]])&amp;"/"&amp;YEAR(ТабПозиции[[#This Row],[date]])</f>
        <v>3/2024</v>
      </c>
      <c r="D83" s="1" t="str">
        <f>IFERROR(VLOOKUP(ТабПозиции[[#This Row],[orderNum]],ТабЗаказы[#Data],MATCH(D$7,ТабЗаказы[#Headers],0),0),"")</f>
        <v/>
      </c>
      <c r="E83" s="1" t="str">
        <f>IFERROR(VLOOKUP(ТабПозиции[[#This Row],[orderNum]],ТабЗаказы[#Data],MATCH(E$7,ТабЗаказы[#Headers],0),0),"")</f>
        <v/>
      </c>
      <c r="F83" s="16" t="s">
        <v>629</v>
      </c>
      <c r="G83" s="40" t="s">
        <v>545</v>
      </c>
      <c r="H83" s="17"/>
      <c r="I83" s="18">
        <v>45383</v>
      </c>
      <c r="J83" s="10">
        <v>1</v>
      </c>
      <c r="L83">
        <v>0</v>
      </c>
      <c r="M83" s="10">
        <v>329</v>
      </c>
      <c r="N83">
        <f t="shared" si="1"/>
        <v>329</v>
      </c>
      <c r="P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Row],[orderNum]],ТабПозиции[orderSumm])&gt;1500),ABS(N83*VLOOKUP(ТабПозиции[[#This Row],[orderNum]],ТабЗаказы[#Data],MATCH("Percent",ТабЗаказы[#Headers],0),0))/100,200/COUNTIF(ТабПозиции[orderNum],ТабПозиции[[#This Row],[orderNum]])),0),"")</f>
        <v>49</v>
      </c>
      <c r="Q83">
        <f>IF(OR(ТабПозиции[[#This Row],[item]]="По штрихкоду",ТабПозиции[[#This Row],[item]]="Посылка"),ТабПозиции[[#This Row],[deliverySumm]]+ТабПозиции[[#This Row],[deliveryPost]],SUM(N83:P83))</f>
        <v>378</v>
      </c>
      <c r="R83" s="41">
        <v>378</v>
      </c>
      <c r="S83" s="46">
        <f>ТабПозиции[[#This Row],[totalSumm]]-ТабПозиции[[#This Row],[payment]]</f>
        <v>0</v>
      </c>
      <c r="T83" s="18" t="s">
        <v>580</v>
      </c>
      <c r="U83" s="40" t="s">
        <v>545</v>
      </c>
      <c r="V83" s="40" t="s">
        <v>545</v>
      </c>
      <c r="W83" s="40" t="s">
        <v>545</v>
      </c>
      <c r="X83"/>
      <c r="Y83"/>
    </row>
    <row r="84" spans="1:25" hidden="1" x14ac:dyDescent="0.25">
      <c r="A84" s="10">
        <v>26</v>
      </c>
      <c r="B84" s="1">
        <f>IFERROR(VLOOKUP(ТабПозиции[[#This Row],[orderNum]],ТабЗаказы[#Data],MATCH(B$7,ТабЗаказы[#Headers],0),0),"")</f>
        <v>45374</v>
      </c>
      <c r="C84" t="str">
        <f>MONTH(ТабПозиции[[#This Row],[date]])&amp;"/"&amp;YEAR(ТабПозиции[[#This Row],[date]])</f>
        <v>3/2024</v>
      </c>
      <c r="D84" s="1" t="str">
        <f>IFERROR(VLOOKUP(ТабПозиции[[#This Row],[orderNum]],ТабЗаказы[#Data],MATCH(D$7,ТабЗаказы[#Headers],0),0),"")</f>
        <v/>
      </c>
      <c r="E84" s="1" t="str">
        <f>IFERROR(VLOOKUP(ТабПозиции[[#This Row],[orderNum]],ТабЗаказы[#Data],MATCH(E$7,ТабЗаказы[#Headers],0),0),"")</f>
        <v/>
      </c>
      <c r="F84" s="10" t="s">
        <v>32</v>
      </c>
      <c r="G84" s="40" t="s">
        <v>545</v>
      </c>
      <c r="I84" s="18">
        <v>45374</v>
      </c>
      <c r="J84" s="10">
        <v>1</v>
      </c>
      <c r="K84" s="10">
        <v>0</v>
      </c>
      <c r="L84">
        <v>0</v>
      </c>
      <c r="M84" s="10">
        <v>3414</v>
      </c>
      <c r="N84">
        <f t="shared" si="1"/>
        <v>3414</v>
      </c>
      <c r="P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Row],[orderNum]],ТабПозиции[orderSumm])&gt;1500),ABS(N84*VLOOKUP(ТабПозиции[[#This Row],[orderNum]],ТабЗаказы[#Data],MATCH("Percent",ТабЗаказы[#Headers],0),0))/100,200/COUNTIF(ТабПозиции[orderNum],ТабПозиции[[#This Row],[orderNum]])),0),"")</f>
        <v>512</v>
      </c>
      <c r="Q84">
        <f>IF(OR(ТабПозиции[[#This Row],[item]]="По штрихкоду",ТабПозиции[[#This Row],[item]]="Посылка"),ТабПозиции[[#This Row],[deliverySumm]]+ТабПозиции[[#This Row],[deliveryPost]],SUM(N84:P84))</f>
        <v>512</v>
      </c>
      <c r="R84" s="41">
        <v>512</v>
      </c>
      <c r="S84" s="46">
        <f>ТабПозиции[[#This Row],[totalSumm]]-ТабПозиции[[#This Row],[payment]]</f>
        <v>0</v>
      </c>
      <c r="T84" s="18" t="s">
        <v>548</v>
      </c>
      <c r="U84" s="40" t="s">
        <v>545</v>
      </c>
      <c r="V84" s="40" t="s">
        <v>545</v>
      </c>
      <c r="W84" s="40" t="s">
        <v>545</v>
      </c>
      <c r="X84"/>
      <c r="Y84"/>
    </row>
    <row r="85" spans="1:25" hidden="1" x14ac:dyDescent="0.25">
      <c r="A85" s="10">
        <v>27</v>
      </c>
      <c r="B85" s="1">
        <f>IFERROR(VLOOKUP(ТабПозиции[[#This Row],[orderNum]],ТабЗаказы[#Data],MATCH(B$7,ТабЗаказы[#Headers],0),0),"")</f>
        <v>45374</v>
      </c>
      <c r="C85" t="str">
        <f>MONTH(ТабПозиции[[#This Row],[date]])&amp;"/"&amp;YEAR(ТабПозиции[[#This Row],[date]])</f>
        <v>3/2024</v>
      </c>
      <c r="D85" s="1" t="str">
        <f>IFERROR(VLOOKUP(ТабПозиции[[#This Row],[orderNum]],ТабЗаказы[#Data],MATCH(D$7,ТабЗаказы[#Headers],0),0),"")</f>
        <v/>
      </c>
      <c r="E85" s="1" t="str">
        <f>IFERROR(VLOOKUP(ТабПозиции[[#This Row],[orderNum]],ТабЗаказы[#Data],MATCH(E$7,ТабЗаказы[#Headers],0),0),"")</f>
        <v/>
      </c>
      <c r="F85" s="10" t="s">
        <v>32</v>
      </c>
      <c r="G85" s="40" t="s">
        <v>545</v>
      </c>
      <c r="I85" s="18">
        <v>45374</v>
      </c>
      <c r="J85" s="10">
        <v>1</v>
      </c>
      <c r="K85" s="10">
        <v>0</v>
      </c>
      <c r="L85">
        <v>0</v>
      </c>
      <c r="M85" s="10">
        <v>10000</v>
      </c>
      <c r="N85">
        <f t="shared" si="1"/>
        <v>10000</v>
      </c>
      <c r="P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Row],[orderNum]],ТабПозиции[orderSumm])&gt;1500),ABS(N85*VLOOKUP(ТабПозиции[[#This Row],[orderNum]],ТабЗаказы[#Data],MATCH("Percent",ТабЗаказы[#Headers],0),0))/100,200/COUNTIF(ТабПозиции[orderNum],ТабПозиции[[#This Row],[orderNum]])),0),"")</f>
        <v>1000</v>
      </c>
      <c r="Q85">
        <f>IF(OR(ТабПозиции[[#This Row],[item]]="По штрихкоду",ТабПозиции[[#This Row],[item]]="Посылка"),ТабПозиции[[#This Row],[deliverySumm]]+ТабПозиции[[#This Row],[deliveryPost]],SUM(N85:P85))</f>
        <v>1000</v>
      </c>
      <c r="R85" s="41">
        <v>1000</v>
      </c>
      <c r="S85" s="46">
        <f>ТабПозиции[[#This Row],[totalSumm]]-ТабПозиции[[#This Row],[payment]]</f>
        <v>0</v>
      </c>
      <c r="T85" s="18" t="s">
        <v>630</v>
      </c>
      <c r="U85" s="40" t="s">
        <v>545</v>
      </c>
      <c r="V85" s="40" t="s">
        <v>545</v>
      </c>
      <c r="W85" s="40" t="s">
        <v>545</v>
      </c>
      <c r="X85"/>
      <c r="Y85"/>
    </row>
    <row r="86" spans="1:25" hidden="1" x14ac:dyDescent="0.25">
      <c r="A86" s="10">
        <v>28</v>
      </c>
      <c r="B86" s="1">
        <f>IFERROR(VLOOKUP(ТабПозиции[[#This Row],[orderNum]],ТабЗаказы[#Data],MATCH(B$7,ТабЗаказы[#Headers],0),0),"")</f>
        <v>45376</v>
      </c>
      <c r="C86" t="str">
        <f>MONTH(ТабПозиции[[#This Row],[date]])&amp;"/"&amp;YEAR(ТабПозиции[[#This Row],[date]])</f>
        <v>3/2024</v>
      </c>
      <c r="D86" s="1" t="str">
        <f>IFERROR(VLOOKUP(ТабПозиции[[#This Row],[orderNum]],ТабЗаказы[#Data],MATCH(D$7,ТабЗаказы[#Headers],0),0),"")</f>
        <v/>
      </c>
      <c r="E86" s="1" t="str">
        <f>IFERROR(VLOOKUP(ТабПозиции[[#This Row],[orderNum]],ТабЗаказы[#Data],MATCH(E$7,ТабЗаказы[#Headers],0),0),"")</f>
        <v/>
      </c>
      <c r="F86" s="10" t="s">
        <v>631</v>
      </c>
      <c r="G86" s="40" t="s">
        <v>545</v>
      </c>
      <c r="I86" s="18">
        <v>45376</v>
      </c>
      <c r="J86" s="10">
        <v>1</v>
      </c>
      <c r="L86">
        <v>0</v>
      </c>
      <c r="M86" s="10">
        <v>0</v>
      </c>
      <c r="N86">
        <f t="shared" si="1"/>
        <v>0</v>
      </c>
      <c r="O86" s="10">
        <v>400</v>
      </c>
      <c r="P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86">
        <f>IF(OR(ТабПозиции[[#This Row],[item]]="По штрихкоду",ТабПозиции[[#This Row],[item]]="Посылка"),ТабПозиции[[#This Row],[deliverySumm]]+ТабПозиции[[#This Row],[deliveryPost]],SUM(N86:P86))</f>
        <v>600</v>
      </c>
      <c r="R86" s="41">
        <v>600</v>
      </c>
      <c r="S86" s="46">
        <f>ТабПозиции[[#This Row],[totalSumm]]-ТабПозиции[[#This Row],[payment]]</f>
        <v>0</v>
      </c>
      <c r="T86" s="18" t="s">
        <v>632</v>
      </c>
      <c r="U86" s="40" t="s">
        <v>545</v>
      </c>
      <c r="V86" s="40" t="s">
        <v>545</v>
      </c>
      <c r="W86" s="40" t="s">
        <v>545</v>
      </c>
      <c r="X86"/>
      <c r="Y86"/>
    </row>
    <row r="87" spans="1:25" hidden="1" x14ac:dyDescent="0.25">
      <c r="A87" s="10">
        <v>29</v>
      </c>
      <c r="B87" s="1">
        <f>IFERROR(VLOOKUP(ТабПозиции[[#This Row],[orderNum]],ТабЗаказы[#Data],MATCH(B$7,ТабЗаказы[#Headers],0),0),"")</f>
        <v>45377</v>
      </c>
      <c r="C87" t="str">
        <f>MONTH(ТабПозиции[[#This Row],[date]])&amp;"/"&amp;YEAR(ТабПозиции[[#This Row],[date]])</f>
        <v>3/2024</v>
      </c>
      <c r="D87" s="1" t="str">
        <f>IFERROR(VLOOKUP(ТабПозиции[[#This Row],[orderNum]],ТабЗаказы[#Data],MATCH(D$7,ТабЗаказы[#Headers],0),0),"")</f>
        <v/>
      </c>
      <c r="E87" s="1" t="str">
        <f>IFERROR(VLOOKUP(ТабПозиции[[#This Row],[orderNum]],ТабЗаказы[#Data],MATCH(E$7,ТабЗаказы[#Headers],0),0),"")</f>
        <v/>
      </c>
      <c r="F87" s="16" t="s">
        <v>633</v>
      </c>
      <c r="G87" s="40" t="s">
        <v>545</v>
      </c>
      <c r="H87" s="17"/>
      <c r="I87" s="18">
        <v>45380</v>
      </c>
      <c r="J87" s="10">
        <v>1</v>
      </c>
      <c r="L87">
        <v>0</v>
      </c>
      <c r="M87" s="10">
        <v>1454</v>
      </c>
      <c r="N87">
        <f t="shared" si="1"/>
        <v>1454</v>
      </c>
      <c r="O87" s="10">
        <v>18</v>
      </c>
      <c r="P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87">
        <f>IF(OR(ТабПозиции[[#This Row],[item]]="По штрихкоду",ТабПозиции[[#This Row],[item]]="Посылка"),ТабПозиции[[#This Row],[deliverySumm]]+ТабПозиции[[#This Row],[deliveryPost]],SUM(N87:P87))</f>
        <v>1672</v>
      </c>
      <c r="R87" s="41">
        <v>1672</v>
      </c>
      <c r="S87" s="46">
        <f>ТабПозиции[[#This Row],[totalSumm]]-ТабПозиции[[#This Row],[payment]]</f>
        <v>0</v>
      </c>
      <c r="T87" s="18" t="s">
        <v>580</v>
      </c>
      <c r="U87" s="40" t="s">
        <v>545</v>
      </c>
      <c r="V87" s="40" t="s">
        <v>545</v>
      </c>
      <c r="W87" s="40" t="s">
        <v>545</v>
      </c>
      <c r="X87"/>
      <c r="Y87"/>
    </row>
    <row r="88" spans="1:25" hidden="1" x14ac:dyDescent="0.25">
      <c r="A88" s="10">
        <v>30</v>
      </c>
      <c r="B88" s="1">
        <f>IFERROR(VLOOKUP(ТабПозиции[[#This Row],[orderNum]],ТабЗаказы[#Data],MATCH(B$7,ТабЗаказы[#Headers],0),0),"")</f>
        <v>45376</v>
      </c>
      <c r="C88" t="str">
        <f>MONTH(ТабПозиции[[#This Row],[date]])&amp;"/"&amp;YEAR(ТабПозиции[[#This Row],[date]])</f>
        <v>3/2024</v>
      </c>
      <c r="D88" s="1" t="str">
        <f>IFERROR(VLOOKUP(ТабПозиции[[#This Row],[orderNum]],ТабЗаказы[#Data],MATCH(D$7,ТабЗаказы[#Headers],0),0),"")</f>
        <v/>
      </c>
      <c r="E88" s="1" t="str">
        <f>IFERROR(VLOOKUP(ТабПозиции[[#This Row],[orderNum]],ТабЗаказы[#Data],MATCH(E$7,ТабЗаказы[#Headers],0),0),"")</f>
        <v/>
      </c>
      <c r="F88" s="10" t="s">
        <v>634</v>
      </c>
      <c r="G88" s="40" t="s">
        <v>545</v>
      </c>
      <c r="I88" s="18">
        <v>45376</v>
      </c>
      <c r="J88" s="10">
        <v>1</v>
      </c>
      <c r="L88">
        <v>0</v>
      </c>
      <c r="N88">
        <f t="shared" si="1"/>
        <v>0</v>
      </c>
      <c r="P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88">
        <f>IF(OR(ТабПозиции[[#This Row],[item]]="По штрихкоду",ТабПозиции[[#This Row],[item]]="Посылка"),ТабПозиции[[#This Row],[deliverySumm]]+ТабПозиции[[#This Row],[deliveryPost]],SUM(N88:P88))</f>
        <v>200</v>
      </c>
      <c r="R88" s="41">
        <v>200</v>
      </c>
      <c r="S88" s="46">
        <f>ТабПозиции[[#This Row],[totalSumm]]-ТабПозиции[[#This Row],[payment]]</f>
        <v>0</v>
      </c>
      <c r="T88" s="18" t="s">
        <v>566</v>
      </c>
      <c r="U88" s="40" t="s">
        <v>545</v>
      </c>
      <c r="V88" s="40" t="s">
        <v>545</v>
      </c>
      <c r="W88" s="40" t="s">
        <v>545</v>
      </c>
      <c r="X88"/>
      <c r="Y88"/>
    </row>
    <row r="89" spans="1:25" hidden="1" x14ac:dyDescent="0.25">
      <c r="A89" s="10">
        <v>31</v>
      </c>
      <c r="B89" s="1">
        <f>IFERROR(VLOOKUP(ТабПозиции[[#This Row],[orderNum]],ТабЗаказы[#Data],MATCH(B$7,ТабЗаказы[#Headers],0),0),"")</f>
        <v>45378</v>
      </c>
      <c r="C89" t="str">
        <f>MONTH(ТабПозиции[[#This Row],[date]])&amp;"/"&amp;YEAR(ТабПозиции[[#This Row],[date]])</f>
        <v>3/2024</v>
      </c>
      <c r="D89" s="1" t="str">
        <f>IFERROR(VLOOKUP(ТабПозиции[[#This Row],[orderNum]],ТабЗаказы[#Data],MATCH(D$7,ТабЗаказы[#Headers],0),0),"")</f>
        <v/>
      </c>
      <c r="E89" s="1" t="str">
        <f>IFERROR(VLOOKUP(ТабПозиции[[#This Row],[orderNum]],ТабЗаказы[#Data],MATCH(E$7,ТабЗаказы[#Headers],0),0),"")</f>
        <v/>
      </c>
      <c r="F89" s="16" t="s">
        <v>635</v>
      </c>
      <c r="G89" s="40" t="s">
        <v>545</v>
      </c>
      <c r="H89" s="17"/>
      <c r="I89" s="18">
        <v>45384</v>
      </c>
      <c r="J89" s="10">
        <v>1</v>
      </c>
      <c r="L89">
        <v>0</v>
      </c>
      <c r="M89" s="10">
        <v>1090</v>
      </c>
      <c r="N89">
        <f t="shared" si="1"/>
        <v>1090</v>
      </c>
      <c r="P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Row],[orderNum]],ТабПозиции[orderSumm])&gt;1500),ABS(N89*VLOOKUP(ТабПозиции[[#This Row],[orderNum]],ТабЗаказы[#Data],MATCH("Percent",ТабЗаказы[#Headers],0),0))/100,200/COUNTIF(ТабПозиции[orderNum],ТабПозиции[[#This Row],[orderNum]])),0),"")</f>
        <v>164</v>
      </c>
      <c r="Q89">
        <f>IF(OR(ТабПозиции[[#This Row],[item]]="По штрихкоду",ТабПозиции[[#This Row],[item]]="Посылка"),ТабПозиции[[#This Row],[deliverySumm]]+ТабПозиции[[#This Row],[deliveryPost]],SUM(N89:P89))</f>
        <v>1254</v>
      </c>
      <c r="R89" s="41">
        <v>1254</v>
      </c>
      <c r="S89" s="46">
        <f>ТабПозиции[[#This Row],[totalSumm]]-ТабПозиции[[#This Row],[payment]]</f>
        <v>0</v>
      </c>
      <c r="T89" s="18" t="s">
        <v>580</v>
      </c>
      <c r="U89" s="40" t="s">
        <v>545</v>
      </c>
      <c r="V89" s="40" t="s">
        <v>545</v>
      </c>
      <c r="W89" s="40" t="s">
        <v>545</v>
      </c>
      <c r="X89"/>
      <c r="Y89"/>
    </row>
    <row r="90" spans="1:25" hidden="1" x14ac:dyDescent="0.25">
      <c r="A90" s="10">
        <v>31</v>
      </c>
      <c r="B90" s="1">
        <f>IFERROR(VLOOKUP(ТабПозиции[[#This Row],[orderNum]],ТабЗаказы[#Data],MATCH(B$7,ТабЗаказы[#Headers],0),0),"")</f>
        <v>45378</v>
      </c>
      <c r="C90" t="str">
        <f>MONTH(ТабПозиции[[#This Row],[date]])&amp;"/"&amp;YEAR(ТабПозиции[[#This Row],[date]])</f>
        <v>3/2024</v>
      </c>
      <c r="D90" s="1" t="str">
        <f>IFERROR(VLOOKUP(ТабПозиции[[#This Row],[orderNum]],ТабЗаказы[#Data],MATCH(D$7,ТабЗаказы[#Headers],0),0),"")</f>
        <v/>
      </c>
      <c r="E90" s="1" t="str">
        <f>IFERROR(VLOOKUP(ТабПозиции[[#This Row],[orderNum]],ТабЗаказы[#Data],MATCH(E$7,ТабЗаказы[#Headers],0),0),"")</f>
        <v/>
      </c>
      <c r="F90" s="16" t="s">
        <v>636</v>
      </c>
      <c r="G90" s="40" t="s">
        <v>545</v>
      </c>
      <c r="H90" s="17"/>
      <c r="I90" s="18">
        <v>45379</v>
      </c>
      <c r="J90" s="10">
        <v>1</v>
      </c>
      <c r="L90">
        <v>0</v>
      </c>
      <c r="M90" s="10">
        <v>309</v>
      </c>
      <c r="N90">
        <f t="shared" si="1"/>
        <v>309</v>
      </c>
      <c r="P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Row],[orderNum]],ТабПозиции[orderSumm])&gt;1500),ABS(N90*VLOOKUP(ТабПозиции[[#This Row],[orderNum]],ТабЗаказы[#Data],MATCH("Percent",ТабЗаказы[#Headers],0),0))/100,200/COUNTIF(ТабПозиции[orderNum],ТабПозиции[[#This Row],[orderNum]])),0),"")</f>
        <v>46</v>
      </c>
      <c r="Q90">
        <f>IF(OR(ТабПозиции[[#This Row],[item]]="По штрихкоду",ТабПозиции[[#This Row],[item]]="Посылка"),ТабПозиции[[#This Row],[deliverySumm]]+ТабПозиции[[#This Row],[deliveryPost]],SUM(N90:P90))</f>
        <v>355</v>
      </c>
      <c r="R90" s="41">
        <v>355</v>
      </c>
      <c r="S90" s="46">
        <f>ТабПозиции[[#This Row],[totalSumm]]-ТабПозиции[[#This Row],[payment]]</f>
        <v>0</v>
      </c>
      <c r="T90" s="18" t="s">
        <v>580</v>
      </c>
      <c r="U90" s="40" t="s">
        <v>545</v>
      </c>
      <c r="V90" s="40" t="s">
        <v>545</v>
      </c>
      <c r="W90" s="40" t="s">
        <v>545</v>
      </c>
      <c r="X90"/>
      <c r="Y90"/>
    </row>
    <row r="91" spans="1:25" hidden="1" x14ac:dyDescent="0.25">
      <c r="A91" s="10">
        <v>32</v>
      </c>
      <c r="B91" s="1">
        <f>IFERROR(VLOOKUP(ТабПозиции[[#This Row],[orderNum]],ТабЗаказы[#Data],MATCH(B$7,ТабЗаказы[#Headers],0),0),"")</f>
        <v>45379</v>
      </c>
      <c r="C91" t="str">
        <f>MONTH(ТабПозиции[[#This Row],[date]])&amp;"/"&amp;YEAR(ТабПозиции[[#This Row],[date]])</f>
        <v>3/2024</v>
      </c>
      <c r="D91" s="1" t="str">
        <f>IFERROR(VLOOKUP(ТабПозиции[[#This Row],[orderNum]],ТабЗаказы[#Data],MATCH(D$7,ТабЗаказы[#Headers],0),0),"")</f>
        <v/>
      </c>
      <c r="E91" s="1" t="str">
        <f>IFERROR(VLOOKUP(ТабПозиции[[#This Row],[orderNum]],ТабЗаказы[#Data],MATCH(E$7,ТабЗаказы[#Headers],0),0),"")</f>
        <v/>
      </c>
      <c r="F91" s="10" t="s">
        <v>32</v>
      </c>
      <c r="G91" s="40" t="s">
        <v>545</v>
      </c>
      <c r="I91" s="18">
        <v>45380</v>
      </c>
      <c r="J91" s="10">
        <v>1</v>
      </c>
      <c r="K91" s="10">
        <v>0</v>
      </c>
      <c r="L91">
        <v>0</v>
      </c>
      <c r="N91">
        <f t="shared" si="1"/>
        <v>0</v>
      </c>
      <c r="P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91">
        <f>IF(OR(ТабПозиции[[#This Row],[item]]="По штрихкоду",ТабПозиции[[#This Row],[item]]="Посылка"),ТабПозиции[[#This Row],[deliverySumm]]+ТабПозиции[[#This Row],[deliveryPost]],SUM(N91:P91))</f>
        <v>200</v>
      </c>
      <c r="R91" s="41">
        <v>200</v>
      </c>
      <c r="S91" s="46">
        <f>ТабПозиции[[#This Row],[totalSumm]]-ТабПозиции[[#This Row],[payment]]</f>
        <v>0</v>
      </c>
      <c r="T91" s="18" t="s">
        <v>548</v>
      </c>
      <c r="U91" s="40" t="s">
        <v>545</v>
      </c>
      <c r="V91" s="40" t="s">
        <v>545</v>
      </c>
      <c r="W91" s="40" t="s">
        <v>545</v>
      </c>
      <c r="X91"/>
      <c r="Y91"/>
    </row>
    <row r="92" spans="1:25" hidden="1" x14ac:dyDescent="0.25">
      <c r="A92" s="10">
        <v>33</v>
      </c>
      <c r="B92" s="1">
        <f>IFERROR(VLOOKUP(ТабПозиции[[#This Row],[orderNum]],ТабЗаказы[#Data],MATCH(B$7,ТабЗаказы[#Headers],0),0),"")</f>
        <v>45379</v>
      </c>
      <c r="C92" t="str">
        <f>MONTH(ТабПозиции[[#This Row],[date]])&amp;"/"&amp;YEAR(ТабПозиции[[#This Row],[date]])</f>
        <v>3/2024</v>
      </c>
      <c r="D92" s="1" t="str">
        <f>IFERROR(VLOOKUP(ТабПозиции[[#This Row],[orderNum]],ТабЗаказы[#Data],MATCH(D$7,ТабЗаказы[#Headers],0),0),"")</f>
        <v/>
      </c>
      <c r="E92" s="1" t="str">
        <f>IFERROR(VLOOKUP(ТабПозиции[[#This Row],[orderNum]],ТабЗаказы[#Data],MATCH(E$7,ТабЗаказы[#Headers],0),0),"")</f>
        <v/>
      </c>
      <c r="F92" s="16" t="s">
        <v>637</v>
      </c>
      <c r="G92" s="40" t="s">
        <v>545</v>
      </c>
      <c r="H92" s="17"/>
      <c r="I92" s="18">
        <v>45378</v>
      </c>
      <c r="J92" s="10">
        <v>1</v>
      </c>
      <c r="L92">
        <v>0</v>
      </c>
      <c r="M92" s="10">
        <v>271</v>
      </c>
      <c r="N92">
        <f t="shared" si="1"/>
        <v>271</v>
      </c>
      <c r="P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92">
        <f>IF(OR(ТабПозиции[[#This Row],[item]]="По штрихкоду",ТабПозиции[[#This Row],[item]]="Посылка"),ТабПозиции[[#This Row],[deliverySumm]]+ТабПозиции[[#This Row],[deliveryPost]],SUM(N92:P92))</f>
        <v>471</v>
      </c>
      <c r="R92" s="41">
        <v>471</v>
      </c>
      <c r="S92" s="46">
        <f>ТабПозиции[[#This Row],[totalSumm]]-ТабПозиции[[#This Row],[payment]]</f>
        <v>0</v>
      </c>
      <c r="T92" s="18" t="s">
        <v>580</v>
      </c>
      <c r="U92" s="40" t="s">
        <v>545</v>
      </c>
      <c r="V92" s="40" t="s">
        <v>545</v>
      </c>
      <c r="W92" s="40" t="s">
        <v>545</v>
      </c>
      <c r="X92"/>
      <c r="Y92"/>
    </row>
    <row r="93" spans="1:25" hidden="1" x14ac:dyDescent="0.25">
      <c r="A93" s="10">
        <v>35</v>
      </c>
      <c r="B93" s="1">
        <f>IFERROR(VLOOKUP(ТабПозиции[[#This Row],[orderNum]],ТабЗаказы[#Data],MATCH(B$7,ТабЗаказы[#Headers],0),0),"")</f>
        <v>45380</v>
      </c>
      <c r="C93" t="str">
        <f>MONTH(ТабПозиции[[#This Row],[date]])&amp;"/"&amp;YEAR(ТабПозиции[[#This Row],[date]])</f>
        <v>3/2024</v>
      </c>
      <c r="D93" s="1" t="str">
        <f>IFERROR(VLOOKUP(ТабПозиции[[#This Row],[orderNum]],ТабЗаказы[#Data],MATCH(D$7,ТабЗаказы[#Headers],0),0),"")</f>
        <v/>
      </c>
      <c r="E93" s="1" t="str">
        <f>IFERROR(VLOOKUP(ТабПозиции[[#This Row],[orderNum]],ТабЗаказы[#Data],MATCH(E$7,ТабЗаказы[#Headers],0),0),"")</f>
        <v/>
      </c>
      <c r="F93" s="10" t="s">
        <v>32</v>
      </c>
      <c r="G93" s="40" t="s">
        <v>545</v>
      </c>
      <c r="I93" s="18">
        <v>45380</v>
      </c>
      <c r="J93" s="10">
        <v>1</v>
      </c>
      <c r="K93" s="10">
        <v>0</v>
      </c>
      <c r="L93">
        <v>0</v>
      </c>
      <c r="M93" s="10">
        <v>3932</v>
      </c>
      <c r="N93">
        <f t="shared" si="1"/>
        <v>3932</v>
      </c>
      <c r="P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Row],[orderNum]],ТабПозиции[orderSumm])&gt;1500),ABS(N93*VLOOKUP(ТабПозиции[[#This Row],[orderNum]],ТабЗаказы[#Data],MATCH("Percent",ТабЗаказы[#Headers],0),0))/100,200/COUNTIF(ТабПозиции[orderNum],ТабПозиции[[#This Row],[orderNum]])),0),"")</f>
        <v>393</v>
      </c>
      <c r="Q93">
        <f>IF(OR(ТабПозиции[[#This Row],[item]]="По штрихкоду",ТабПозиции[[#This Row],[item]]="Посылка"),ТабПозиции[[#This Row],[deliverySumm]]+ТабПозиции[[#This Row],[deliveryPost]],SUM(N93:P93))</f>
        <v>393</v>
      </c>
      <c r="R93" s="41">
        <v>393</v>
      </c>
      <c r="S93" s="46">
        <f>ТабПозиции[[#This Row],[totalSumm]]-ТабПозиции[[#This Row],[payment]]</f>
        <v>0</v>
      </c>
      <c r="T93" s="18" t="s">
        <v>548</v>
      </c>
      <c r="U93" s="40" t="s">
        <v>545</v>
      </c>
      <c r="V93" s="40" t="s">
        <v>545</v>
      </c>
      <c r="W93" s="40" t="s">
        <v>545</v>
      </c>
      <c r="X93"/>
      <c r="Y93"/>
    </row>
    <row r="94" spans="1:25" hidden="1" x14ac:dyDescent="0.25">
      <c r="A94" s="10">
        <v>36</v>
      </c>
      <c r="B94" s="1">
        <f>IFERROR(VLOOKUP(ТабПозиции[[#This Row],[orderNum]],ТабЗаказы[#Data],MATCH(B$7,ТабЗаказы[#Headers],0),0),"")</f>
        <v>45380</v>
      </c>
      <c r="C94" t="str">
        <f>MONTH(ТабПозиции[[#This Row],[date]])&amp;"/"&amp;YEAR(ТабПозиции[[#This Row],[date]])</f>
        <v>3/2024</v>
      </c>
      <c r="D94" s="1" t="str">
        <f>IFERROR(VLOOKUP(ТабПозиции[[#This Row],[orderNum]],ТабЗаказы[#Data],MATCH(D$7,ТабЗаказы[#Headers],0),0),"")</f>
        <v/>
      </c>
      <c r="E94" s="1" t="str">
        <f>IFERROR(VLOOKUP(ТабПозиции[[#This Row],[orderNum]],ТабЗаказы[#Data],MATCH(E$7,ТабЗаказы[#Headers],0),0),"")</f>
        <v/>
      </c>
      <c r="F94" s="10" t="s">
        <v>32</v>
      </c>
      <c r="G94" s="40" t="s">
        <v>545</v>
      </c>
      <c r="I94" s="18">
        <v>45380</v>
      </c>
      <c r="J94" s="10">
        <v>1</v>
      </c>
      <c r="K94" s="10">
        <v>0</v>
      </c>
      <c r="L94">
        <v>0</v>
      </c>
      <c r="M94" s="10">
        <v>2951</v>
      </c>
      <c r="N94">
        <f t="shared" si="1"/>
        <v>2951</v>
      </c>
      <c r="P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Row],[orderNum]],ТабПозиции[orderSumm])&gt;1500),ABS(N94*VLOOKUP(ТабПозиции[[#This Row],[orderNum]],ТабЗаказы[#Data],MATCH("Percent",ТабЗаказы[#Headers],0),0))/100,200/COUNTIF(ТабПозиции[orderNum],ТабПозиции[[#This Row],[orderNum]])),0),"")</f>
        <v>443</v>
      </c>
      <c r="Q94">
        <f>IF(OR(ТабПозиции[[#This Row],[item]]="По штрихкоду",ТабПозиции[[#This Row],[item]]="Посылка"),ТабПозиции[[#This Row],[deliverySumm]]+ТабПозиции[[#This Row],[deliveryPost]],SUM(N94:P94))</f>
        <v>443</v>
      </c>
      <c r="R94" s="41">
        <v>443</v>
      </c>
      <c r="S94" s="46">
        <f>ТабПозиции[[#This Row],[totalSumm]]-ТабПозиции[[#This Row],[payment]]</f>
        <v>0</v>
      </c>
      <c r="T94" s="18" t="s">
        <v>548</v>
      </c>
      <c r="U94" s="40" t="s">
        <v>545</v>
      </c>
      <c r="V94" s="40" t="s">
        <v>545</v>
      </c>
      <c r="W94" s="40" t="s">
        <v>545</v>
      </c>
      <c r="X94"/>
      <c r="Y94"/>
    </row>
    <row r="95" spans="1:25" hidden="1" x14ac:dyDescent="0.25">
      <c r="A95" s="10">
        <v>37</v>
      </c>
      <c r="B95" s="1">
        <f>IFERROR(VLOOKUP(ТабПозиции[[#This Row],[orderNum]],ТабЗаказы[#Data],MATCH(B$7,ТабЗаказы[#Headers],0),0),"")</f>
        <v>45381</v>
      </c>
      <c r="C95" t="str">
        <f>MONTH(ТабПозиции[[#This Row],[date]])&amp;"/"&amp;YEAR(ТабПозиции[[#This Row],[date]])</f>
        <v>3/2024</v>
      </c>
      <c r="D95" s="1" t="str">
        <f>IFERROR(VLOOKUP(ТабПозиции[[#This Row],[orderNum]],ТабЗаказы[#Data],MATCH(D$7,ТабЗаказы[#Headers],0),0),"")</f>
        <v/>
      </c>
      <c r="E95" s="1" t="str">
        <f>IFERROR(VLOOKUP(ТабПозиции[[#This Row],[orderNum]],ТабЗаказы[#Data],MATCH(E$7,ТабЗаказы[#Headers],0),0),"")</f>
        <v/>
      </c>
      <c r="F95" s="10" t="s">
        <v>32</v>
      </c>
      <c r="G95" s="40" t="s">
        <v>545</v>
      </c>
      <c r="I95" s="18">
        <v>45381</v>
      </c>
      <c r="J95" s="10">
        <v>1</v>
      </c>
      <c r="K95" s="10">
        <v>0</v>
      </c>
      <c r="L95">
        <v>0</v>
      </c>
      <c r="N95">
        <f t="shared" si="1"/>
        <v>0</v>
      </c>
      <c r="P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95">
        <f>IF(OR(ТабПозиции[[#This Row],[item]]="По штрихкоду",ТабПозиции[[#This Row],[item]]="Посылка"),ТабПозиции[[#This Row],[deliverySumm]]+ТабПозиции[[#This Row],[deliveryPost]],SUM(N95:P95))</f>
        <v>200</v>
      </c>
      <c r="R95" s="41">
        <v>200</v>
      </c>
      <c r="S95" s="46">
        <f>ТабПозиции[[#This Row],[totalSumm]]-ТабПозиции[[#This Row],[payment]]</f>
        <v>0</v>
      </c>
      <c r="T95" s="18" t="s">
        <v>548</v>
      </c>
      <c r="U95" s="40" t="s">
        <v>545</v>
      </c>
      <c r="V95" s="40" t="s">
        <v>545</v>
      </c>
      <c r="W95" s="40" t="s">
        <v>545</v>
      </c>
      <c r="X95"/>
      <c r="Y95"/>
    </row>
    <row r="96" spans="1:25" hidden="1" x14ac:dyDescent="0.25">
      <c r="A96" s="10">
        <v>38</v>
      </c>
      <c r="B96" s="1">
        <f>IFERROR(VLOOKUP(ТабПозиции[[#This Row],[orderNum]],ТабЗаказы[#Data],MATCH(B$7,ТабЗаказы[#Headers],0),0),"")</f>
        <v>45381</v>
      </c>
      <c r="C96" t="str">
        <f>MONTH(ТабПозиции[[#This Row],[date]])&amp;"/"&amp;YEAR(ТабПозиции[[#This Row],[date]])</f>
        <v>3/2024</v>
      </c>
      <c r="D96" s="1" t="str">
        <f>IFERROR(VLOOKUP(ТабПозиции[[#This Row],[orderNum]],ТабЗаказы[#Data],MATCH(D$7,ТабЗаказы[#Headers],0),0),"")</f>
        <v/>
      </c>
      <c r="E96" s="1" t="str">
        <f>IFERROR(VLOOKUP(ТабПозиции[[#This Row],[orderNum]],ТабЗаказы[#Data],MATCH(E$7,ТабЗаказы[#Headers],0),0),"")</f>
        <v/>
      </c>
      <c r="F96" s="10" t="s">
        <v>631</v>
      </c>
      <c r="G96" s="40" t="s">
        <v>545</v>
      </c>
      <c r="I96" s="18">
        <v>45381</v>
      </c>
      <c r="J96" s="10">
        <v>1</v>
      </c>
      <c r="L96">
        <v>0</v>
      </c>
      <c r="N96">
        <f t="shared" si="1"/>
        <v>0</v>
      </c>
      <c r="O96" s="10">
        <v>400</v>
      </c>
      <c r="P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96">
        <f>IF(OR(ТабПозиции[[#This Row],[item]]="По штрихкоду",ТабПозиции[[#This Row],[item]]="Посылка"),ТабПозиции[[#This Row],[deliverySumm]]+ТабПозиции[[#This Row],[deliveryPost]],SUM(N96:P96))</f>
        <v>600</v>
      </c>
      <c r="R96" s="41">
        <v>600</v>
      </c>
      <c r="S96" s="46">
        <f>ТабПозиции[[#This Row],[totalSumm]]-ТабПозиции[[#This Row],[payment]]</f>
        <v>0</v>
      </c>
      <c r="T96" s="18" t="s">
        <v>632</v>
      </c>
      <c r="U96" s="40" t="s">
        <v>545</v>
      </c>
      <c r="V96" s="40" t="s">
        <v>545</v>
      </c>
      <c r="W96" s="40" t="s">
        <v>545</v>
      </c>
      <c r="X96"/>
      <c r="Y96"/>
    </row>
    <row r="97" spans="1:25" hidden="1" x14ac:dyDescent="0.25">
      <c r="A97" s="10">
        <v>39</v>
      </c>
      <c r="B97" s="1">
        <f>IFERROR(VLOOKUP(ТабПозиции[[#This Row],[orderNum]],ТабЗаказы[#Data],MATCH(B$7,ТабЗаказы[#Headers],0),0),"")</f>
        <v>45381</v>
      </c>
      <c r="C97" t="str">
        <f>MONTH(ТабПозиции[[#This Row],[date]])&amp;"/"&amp;YEAR(ТабПозиции[[#This Row],[date]])</f>
        <v>3/2024</v>
      </c>
      <c r="D97" s="1" t="str">
        <f>IFERROR(VLOOKUP(ТабПозиции[[#This Row],[orderNum]],ТабЗаказы[#Data],MATCH(D$7,ТабЗаказы[#Headers],0),0),"")</f>
        <v/>
      </c>
      <c r="E97" s="1" t="str">
        <f>IFERROR(VLOOKUP(ТабПозиции[[#This Row],[orderNum]],ТабЗаказы[#Data],MATCH(E$7,ТабЗаказы[#Headers],0),0),"")</f>
        <v/>
      </c>
      <c r="F97" s="16" t="s">
        <v>638</v>
      </c>
      <c r="G97" s="40" t="s">
        <v>545</v>
      </c>
      <c r="H97" s="17"/>
      <c r="I97" s="18">
        <v>45384</v>
      </c>
      <c r="J97" s="10">
        <v>1</v>
      </c>
      <c r="L97">
        <v>0</v>
      </c>
      <c r="M97" s="10">
        <v>1275</v>
      </c>
      <c r="N97">
        <f t="shared" si="1"/>
        <v>1275</v>
      </c>
      <c r="P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Row],[orderNum]],ТабПозиции[orderSumm])&gt;1500),ABS(N97*VLOOKUP(ТабПозиции[[#This Row],[orderNum]],ТабЗаказы[#Data],MATCH("Percent",ТабЗаказы[#Headers],0),0))/100,200/COUNTIF(ТабПозиции[orderNum],ТабПозиции[[#This Row],[orderNum]])),0),"")</f>
        <v>191</v>
      </c>
      <c r="Q97">
        <f>IF(OR(ТабПозиции[[#This Row],[item]]="По штрихкоду",ТабПозиции[[#This Row],[item]]="Посылка"),ТабПозиции[[#This Row],[deliverySumm]]+ТабПозиции[[#This Row],[deliveryPost]],SUM(N97:P97))</f>
        <v>1466</v>
      </c>
      <c r="R97" s="41">
        <v>1466</v>
      </c>
      <c r="S97" s="46">
        <f>ТабПозиции[[#This Row],[totalSumm]]-ТабПозиции[[#This Row],[payment]]</f>
        <v>0</v>
      </c>
      <c r="T97" s="18" t="s">
        <v>563</v>
      </c>
      <c r="U97" s="40" t="s">
        <v>545</v>
      </c>
      <c r="V97" s="40" t="s">
        <v>545</v>
      </c>
      <c r="W97" s="40" t="s">
        <v>545</v>
      </c>
      <c r="X97"/>
      <c r="Y97"/>
    </row>
    <row r="98" spans="1:25" hidden="1" x14ac:dyDescent="0.25">
      <c r="A98" s="10">
        <v>39</v>
      </c>
      <c r="B98" s="1">
        <f>IFERROR(VLOOKUP(ТабПозиции[[#This Row],[orderNum]],ТабЗаказы[#Data],MATCH(B$7,ТабЗаказы[#Headers],0),0),"")</f>
        <v>45381</v>
      </c>
      <c r="C98" t="str">
        <f>MONTH(ТабПозиции[[#This Row],[date]])&amp;"/"&amp;YEAR(ТабПозиции[[#This Row],[date]])</f>
        <v>3/2024</v>
      </c>
      <c r="D98" s="1" t="str">
        <f>IFERROR(VLOOKUP(ТабПозиции[[#This Row],[orderNum]],ТабЗаказы[#Data],MATCH(D$7,ТабЗаказы[#Headers],0),0),"")</f>
        <v/>
      </c>
      <c r="E98" s="1" t="str">
        <f>IFERROR(VLOOKUP(ТабПозиции[[#This Row],[orderNum]],ТабЗаказы[#Data],MATCH(E$7,ТабЗаказы[#Headers],0),0),"")</f>
        <v/>
      </c>
      <c r="F98" s="16" t="s">
        <v>579</v>
      </c>
      <c r="G98" s="40" t="s">
        <v>545</v>
      </c>
      <c r="H98" s="17"/>
      <c r="I98" s="18">
        <v>45384</v>
      </c>
      <c r="J98" s="10">
        <v>1</v>
      </c>
      <c r="L98">
        <v>0</v>
      </c>
      <c r="M98" s="10">
        <v>406</v>
      </c>
      <c r="N98">
        <f t="shared" si="1"/>
        <v>406</v>
      </c>
      <c r="P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Row],[orderNum]],ТабПозиции[orderSumm])&gt;1500),ABS(N98*VLOOKUP(ТабПозиции[[#This Row],[orderNum]],ТабЗаказы[#Data],MATCH("Percent",ТабЗаказы[#Headers],0),0))/100,200/COUNTIF(ТабПозиции[orderNum],ТабПозиции[[#This Row],[orderNum]])),0),"")</f>
        <v>61</v>
      </c>
      <c r="Q98">
        <f>IF(OR(ТабПозиции[[#This Row],[item]]="По штрихкоду",ТабПозиции[[#This Row],[item]]="Посылка"),ТабПозиции[[#This Row],[deliverySumm]]+ТабПозиции[[#This Row],[deliveryPost]],SUM(N98:P98))</f>
        <v>467</v>
      </c>
      <c r="R98" s="41">
        <v>467</v>
      </c>
      <c r="S98" s="46">
        <f>ТабПозиции[[#This Row],[totalSumm]]-ТабПозиции[[#This Row],[payment]]</f>
        <v>0</v>
      </c>
      <c r="T98" s="18" t="s">
        <v>563</v>
      </c>
      <c r="U98" s="40" t="s">
        <v>545</v>
      </c>
      <c r="V98" s="40" t="s">
        <v>545</v>
      </c>
      <c r="W98" s="40" t="s">
        <v>545</v>
      </c>
      <c r="X98"/>
      <c r="Y98"/>
    </row>
    <row r="99" spans="1:25" hidden="1" x14ac:dyDescent="0.25">
      <c r="A99" s="10">
        <v>39</v>
      </c>
      <c r="B99" s="1">
        <f>IFERROR(VLOOKUP(ТабПозиции[[#This Row],[orderNum]],ТабЗаказы[#Data],MATCH(B$7,ТабЗаказы[#Headers],0),0),"")</f>
        <v>45381</v>
      </c>
      <c r="C99" t="str">
        <f>MONTH(ТабПозиции[[#This Row],[date]])&amp;"/"&amp;YEAR(ТабПозиции[[#This Row],[date]])</f>
        <v>3/2024</v>
      </c>
      <c r="D99" s="1" t="str">
        <f>IFERROR(VLOOKUP(ТабПозиции[[#This Row],[orderNum]],ТабЗаказы[#Data],MATCH(D$7,ТабЗаказы[#Headers],0),0),"")</f>
        <v/>
      </c>
      <c r="E99" s="1" t="str">
        <f>IFERROR(VLOOKUP(ТабПозиции[[#This Row],[orderNum]],ТабЗаказы[#Data],MATCH(E$7,ТабЗаказы[#Headers],0),0),"")</f>
        <v/>
      </c>
      <c r="F99" s="16" t="s">
        <v>639</v>
      </c>
      <c r="G99" s="40" t="s">
        <v>545</v>
      </c>
      <c r="H99" s="17"/>
      <c r="I99" s="18">
        <v>45383</v>
      </c>
      <c r="J99" s="10">
        <v>2</v>
      </c>
      <c r="L99">
        <v>0</v>
      </c>
      <c r="M99" s="10">
        <v>967</v>
      </c>
      <c r="N99">
        <f t="shared" si="1"/>
        <v>1934</v>
      </c>
      <c r="P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Row],[orderNum]],ТабПозиции[orderSumm])&gt;1500),ABS(N99*VLOOKUP(ТабПозиции[[#This Row],[orderNum]],ТабЗаказы[#Data],MATCH("Percent",ТабЗаказы[#Headers],0),0))/100,200/COUNTIF(ТабПозиции[orderNum],ТабПозиции[[#This Row],[orderNum]])),0),"")</f>
        <v>290</v>
      </c>
      <c r="Q99">
        <f>IF(OR(ТабПозиции[[#This Row],[item]]="По штрихкоду",ТабПозиции[[#This Row],[item]]="Посылка"),ТабПозиции[[#This Row],[deliverySumm]]+ТабПозиции[[#This Row],[deliveryPost]],SUM(N99:P99))</f>
        <v>2224</v>
      </c>
      <c r="R99" s="41">
        <v>2224</v>
      </c>
      <c r="S99" s="46">
        <f>ТабПозиции[[#This Row],[totalSumm]]-ТабПозиции[[#This Row],[payment]]</f>
        <v>0</v>
      </c>
      <c r="T99" s="18" t="s">
        <v>563</v>
      </c>
      <c r="U99" s="40" t="s">
        <v>545</v>
      </c>
      <c r="V99" s="40" t="s">
        <v>545</v>
      </c>
      <c r="W99" s="40" t="s">
        <v>545</v>
      </c>
      <c r="X99"/>
      <c r="Y99"/>
    </row>
    <row r="100" spans="1:25" hidden="1" x14ac:dyDescent="0.25">
      <c r="A100" s="10">
        <v>39</v>
      </c>
      <c r="B100" s="1">
        <f>IFERROR(VLOOKUP(ТабПозиции[[#This Row],[orderNum]],ТабЗаказы[#Data],MATCH(B$7,ТабЗаказы[#Headers],0),0),"")</f>
        <v>45381</v>
      </c>
      <c r="C100" t="str">
        <f>MONTH(ТабПозиции[[#This Row],[date]])&amp;"/"&amp;YEAR(ТабПозиции[[#This Row],[date]])</f>
        <v>3/2024</v>
      </c>
      <c r="D100" s="1" t="str">
        <f>IFERROR(VLOOKUP(ТабПозиции[[#This Row],[orderNum]],ТабЗаказы[#Data],MATCH(D$7,ТабЗаказы[#Headers],0),0),"")</f>
        <v/>
      </c>
      <c r="E100" s="1" t="str">
        <f>IFERROR(VLOOKUP(ТабПозиции[[#This Row],[orderNum]],ТабЗаказы[#Data],MATCH(E$7,ТабЗаказы[#Headers],0),0),"")</f>
        <v/>
      </c>
      <c r="F100" s="16" t="s">
        <v>640</v>
      </c>
      <c r="G100" s="40" t="s">
        <v>545</v>
      </c>
      <c r="H100" s="17"/>
      <c r="I100" s="18">
        <v>45384</v>
      </c>
      <c r="J100" s="10">
        <v>1</v>
      </c>
      <c r="L100">
        <v>0</v>
      </c>
      <c r="M100" s="10">
        <v>250</v>
      </c>
      <c r="N100">
        <f t="shared" si="1"/>
        <v>250</v>
      </c>
      <c r="P1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Row],[orderNum]],ТабПозиции[orderSumm])&gt;1500),ABS(N100*VLOOKUP(ТабПозиции[[#This Row],[orderNum]],ТабЗаказы[#Data],MATCH("Percent",ТабЗаказы[#Headers],0),0))/100,200/COUNTIF(ТабПозиции[orderNum],ТабПозиции[[#This Row],[orderNum]])),0),"")</f>
        <v>38</v>
      </c>
      <c r="Q100">
        <f>IF(OR(ТабПозиции[[#This Row],[item]]="По штрихкоду",ТабПозиции[[#This Row],[item]]="Посылка"),ТабПозиции[[#This Row],[deliverySumm]]+ТабПозиции[[#This Row],[deliveryPost]],SUM(N100:P100))</f>
        <v>288</v>
      </c>
      <c r="R100" s="41">
        <v>288</v>
      </c>
      <c r="S100" s="46">
        <f>ТабПозиции[[#This Row],[totalSumm]]-ТабПозиции[[#This Row],[payment]]</f>
        <v>0</v>
      </c>
      <c r="T100" s="18" t="s">
        <v>563</v>
      </c>
      <c r="U100" s="40" t="s">
        <v>545</v>
      </c>
      <c r="V100" s="40" t="s">
        <v>545</v>
      </c>
      <c r="W100" s="40" t="s">
        <v>545</v>
      </c>
      <c r="X100"/>
      <c r="Y100"/>
    </row>
    <row r="101" spans="1:25" hidden="1" x14ac:dyDescent="0.25">
      <c r="A101" s="10">
        <v>39</v>
      </c>
      <c r="B101" s="1">
        <f>IFERROR(VLOOKUP(ТабПозиции[[#This Row],[orderNum]],ТабЗаказы[#Data],MATCH(B$7,ТабЗаказы[#Headers],0),0),"")</f>
        <v>45381</v>
      </c>
      <c r="C101" t="str">
        <f>MONTH(ТабПозиции[[#This Row],[date]])&amp;"/"&amp;YEAR(ТабПозиции[[#This Row],[date]])</f>
        <v>3/2024</v>
      </c>
      <c r="D101" s="1" t="str">
        <f>IFERROR(VLOOKUP(ТабПозиции[[#This Row],[orderNum]],ТабЗаказы[#Data],MATCH(D$7,ТабЗаказы[#Headers],0),0),"")</f>
        <v/>
      </c>
      <c r="E101" s="1" t="str">
        <f>IFERROR(VLOOKUP(ТабПозиции[[#This Row],[orderNum]],ТабЗаказы[#Data],MATCH(E$7,ТабЗаказы[#Headers],0),0),"")</f>
        <v/>
      </c>
      <c r="F101" s="16" t="s">
        <v>641</v>
      </c>
      <c r="G101" s="40" t="s">
        <v>545</v>
      </c>
      <c r="H101" s="17"/>
      <c r="I101" s="18">
        <v>45385</v>
      </c>
      <c r="J101" s="10">
        <v>1</v>
      </c>
      <c r="L101">
        <v>0</v>
      </c>
      <c r="M101" s="10">
        <v>424</v>
      </c>
      <c r="N101">
        <f t="shared" si="1"/>
        <v>424</v>
      </c>
      <c r="P1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Row],[orderNum]],ТабПозиции[orderSumm])&gt;1500),ABS(N101*VLOOKUP(ТабПозиции[[#This Row],[orderNum]],ТабЗаказы[#Data],MATCH("Percent",ТабЗаказы[#Headers],0),0))/100,200/COUNTIF(ТабПозиции[orderNum],ТабПозиции[[#This Row],[orderNum]])),0),"")</f>
        <v>64</v>
      </c>
      <c r="Q101">
        <f>IF(OR(ТабПозиции[[#This Row],[item]]="По штрихкоду",ТабПозиции[[#This Row],[item]]="Посылка"),ТабПозиции[[#This Row],[deliverySumm]]+ТабПозиции[[#This Row],[deliveryPost]],SUM(N101:P101))</f>
        <v>488</v>
      </c>
      <c r="R101" s="41">
        <v>488</v>
      </c>
      <c r="S101" s="46">
        <f>ТабПозиции[[#This Row],[totalSumm]]-ТабПозиции[[#This Row],[payment]]</f>
        <v>0</v>
      </c>
      <c r="T101" s="18" t="s">
        <v>563</v>
      </c>
      <c r="U101" s="40" t="s">
        <v>545</v>
      </c>
      <c r="V101" s="40" t="s">
        <v>545</v>
      </c>
      <c r="W101" s="40" t="s">
        <v>545</v>
      </c>
      <c r="X101"/>
      <c r="Y101"/>
    </row>
    <row r="102" spans="1:25" hidden="1" x14ac:dyDescent="0.25">
      <c r="A102" s="10">
        <v>39</v>
      </c>
      <c r="B102" s="1">
        <f>IFERROR(VLOOKUP(ТабПозиции[[#This Row],[orderNum]],ТабЗаказы[#Data],MATCH(B$7,ТабЗаказы[#Headers],0),0),"")</f>
        <v>45381</v>
      </c>
      <c r="C102" t="str">
        <f>MONTH(ТабПозиции[[#This Row],[date]])&amp;"/"&amp;YEAR(ТабПозиции[[#This Row],[date]])</f>
        <v>3/2024</v>
      </c>
      <c r="D102" s="1" t="str">
        <f>IFERROR(VLOOKUP(ТабПозиции[[#This Row],[orderNum]],ТабЗаказы[#Data],MATCH(D$7,ТабЗаказы[#Headers],0),0),"")</f>
        <v/>
      </c>
      <c r="E102" s="1" t="str">
        <f>IFERROR(VLOOKUP(ТабПозиции[[#This Row],[orderNum]],ТабЗаказы[#Data],MATCH(E$7,ТабЗаказы[#Headers],0),0),"")</f>
        <v/>
      </c>
      <c r="F102" s="16" t="s">
        <v>642</v>
      </c>
      <c r="G102" s="40" t="s">
        <v>545</v>
      </c>
      <c r="H102" s="17"/>
      <c r="I102" s="18">
        <v>45384</v>
      </c>
      <c r="J102" s="10">
        <v>1</v>
      </c>
      <c r="L102">
        <v>0</v>
      </c>
      <c r="M102" s="10">
        <v>255</v>
      </c>
      <c r="N102">
        <f t="shared" si="1"/>
        <v>255</v>
      </c>
      <c r="P1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Row],[orderNum]],ТабПозиции[orderSumm])&gt;1500),ABS(N102*VLOOKUP(ТабПозиции[[#This Row],[orderNum]],ТабЗаказы[#Data],MATCH("Percent",ТабЗаказы[#Headers],0),0))/100,200/COUNTIF(ТабПозиции[orderNum],ТабПозиции[[#This Row],[orderNum]])),0),"")</f>
        <v>38</v>
      </c>
      <c r="Q102">
        <f>IF(OR(ТабПозиции[[#This Row],[item]]="По штрихкоду",ТабПозиции[[#This Row],[item]]="Посылка"),ТабПозиции[[#This Row],[deliverySumm]]+ТабПозиции[[#This Row],[deliveryPost]],SUM(N102:P102))</f>
        <v>293</v>
      </c>
      <c r="R102" s="41">
        <v>293</v>
      </c>
      <c r="S102" s="46">
        <f>ТабПозиции[[#This Row],[totalSumm]]-ТабПозиции[[#This Row],[payment]]</f>
        <v>0</v>
      </c>
      <c r="T102" s="18" t="s">
        <v>563</v>
      </c>
      <c r="U102" s="40" t="s">
        <v>545</v>
      </c>
      <c r="V102" s="40" t="s">
        <v>545</v>
      </c>
      <c r="W102" s="40" t="s">
        <v>545</v>
      </c>
      <c r="X102"/>
      <c r="Y102"/>
    </row>
    <row r="103" spans="1:25" hidden="1" x14ac:dyDescent="0.25">
      <c r="A103" s="10">
        <v>39</v>
      </c>
      <c r="B103" s="1">
        <f>IFERROR(VLOOKUP(ТабПозиции[[#This Row],[orderNum]],ТабЗаказы[#Data],MATCH(B$7,ТабЗаказы[#Headers],0),0),"")</f>
        <v>45381</v>
      </c>
      <c r="C103" t="str">
        <f>MONTH(ТабПозиции[[#This Row],[date]])&amp;"/"&amp;YEAR(ТабПозиции[[#This Row],[date]])</f>
        <v>3/2024</v>
      </c>
      <c r="D103" s="1" t="str">
        <f>IFERROR(VLOOKUP(ТабПозиции[[#This Row],[orderNum]],ТабЗаказы[#Data],MATCH(D$7,ТабЗаказы[#Headers],0),0),"")</f>
        <v/>
      </c>
      <c r="E103" s="1" t="str">
        <f>IFERROR(VLOOKUP(ТабПозиции[[#This Row],[orderNum]],ТабЗаказы[#Data],MATCH(E$7,ТабЗаказы[#Headers],0),0),"")</f>
        <v/>
      </c>
      <c r="F103" s="16" t="s">
        <v>643</v>
      </c>
      <c r="G103" s="40" t="s">
        <v>545</v>
      </c>
      <c r="H103" s="17"/>
      <c r="I103" s="18">
        <v>45384</v>
      </c>
      <c r="J103" s="10">
        <v>1</v>
      </c>
      <c r="L103">
        <v>0</v>
      </c>
      <c r="M103" s="10">
        <v>255</v>
      </c>
      <c r="N103">
        <f t="shared" si="1"/>
        <v>255</v>
      </c>
      <c r="P1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Row],[orderNum]],ТабПозиции[orderSumm])&gt;1500),ABS(N103*VLOOKUP(ТабПозиции[[#This Row],[orderNum]],ТабЗаказы[#Data],MATCH("Percent",ТабЗаказы[#Headers],0),0))/100,200/COUNTIF(ТабПозиции[orderNum],ТабПозиции[[#This Row],[orderNum]])),0),"")</f>
        <v>38</v>
      </c>
      <c r="Q103">
        <f>IF(OR(ТабПозиции[[#This Row],[item]]="По штрихкоду",ТабПозиции[[#This Row],[item]]="Посылка"),ТабПозиции[[#This Row],[deliverySumm]]+ТабПозиции[[#This Row],[deliveryPost]],SUM(N103:P103))</f>
        <v>293</v>
      </c>
      <c r="R103" s="41">
        <v>293</v>
      </c>
      <c r="S103" s="46">
        <f>ТабПозиции[[#This Row],[totalSumm]]-ТабПозиции[[#This Row],[payment]]</f>
        <v>0</v>
      </c>
      <c r="T103" s="18" t="s">
        <v>563</v>
      </c>
      <c r="U103" s="40" t="s">
        <v>545</v>
      </c>
      <c r="V103" s="40" t="s">
        <v>545</v>
      </c>
      <c r="W103" s="40" t="s">
        <v>545</v>
      </c>
      <c r="X103"/>
      <c r="Y103"/>
    </row>
    <row r="104" spans="1:25" hidden="1" x14ac:dyDescent="0.25">
      <c r="A104" s="10">
        <v>39</v>
      </c>
      <c r="B104" s="1">
        <f>IFERROR(VLOOKUP(ТабПозиции[[#This Row],[orderNum]],ТабЗаказы[#Data],MATCH(B$7,ТабЗаказы[#Headers],0),0),"")</f>
        <v>45381</v>
      </c>
      <c r="C104" t="str">
        <f>MONTH(ТабПозиции[[#This Row],[date]])&amp;"/"&amp;YEAR(ТабПозиции[[#This Row],[date]])</f>
        <v>3/2024</v>
      </c>
      <c r="D104" s="1" t="str">
        <f>IFERROR(VLOOKUP(ТабПозиции[[#This Row],[orderNum]],ТабЗаказы[#Data],MATCH(D$7,ТабЗаказы[#Headers],0),0),"")</f>
        <v/>
      </c>
      <c r="E104" s="1" t="str">
        <f>IFERROR(VLOOKUP(ТабПозиции[[#This Row],[orderNum]],ТабЗаказы[#Data],MATCH(E$7,ТабЗаказы[#Headers],0),0),"")</f>
        <v/>
      </c>
      <c r="F104" s="16" t="s">
        <v>644</v>
      </c>
      <c r="G104" s="40" t="s">
        <v>545</v>
      </c>
      <c r="H104" s="17"/>
      <c r="I104" s="18">
        <v>45384</v>
      </c>
      <c r="J104" s="10">
        <v>1</v>
      </c>
      <c r="L104">
        <v>0</v>
      </c>
      <c r="M104" s="10">
        <v>382</v>
      </c>
      <c r="N104">
        <f t="shared" si="1"/>
        <v>382</v>
      </c>
      <c r="P1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Row],[orderNum]],ТабПозиции[orderSumm])&gt;1500),ABS(N104*VLOOKUP(ТабПозиции[[#This Row],[orderNum]],ТабЗаказы[#Data],MATCH("Percent",ТабЗаказы[#Headers],0),0))/100,200/COUNTIF(ТабПозиции[orderNum],ТабПозиции[[#This Row],[orderNum]])),0),"")</f>
        <v>57</v>
      </c>
      <c r="Q104">
        <f>IF(OR(ТабПозиции[[#This Row],[item]]="По штрихкоду",ТабПозиции[[#This Row],[item]]="Посылка"),ТабПозиции[[#This Row],[deliverySumm]]+ТабПозиции[[#This Row],[deliveryPost]],SUM(N104:P104))</f>
        <v>439</v>
      </c>
      <c r="R104" s="41">
        <v>439</v>
      </c>
      <c r="S104" s="46">
        <f>ТабПозиции[[#This Row],[totalSumm]]-ТабПозиции[[#This Row],[payment]]</f>
        <v>0</v>
      </c>
      <c r="T104" s="18" t="s">
        <v>563</v>
      </c>
      <c r="U104" s="40" t="s">
        <v>545</v>
      </c>
      <c r="V104" s="40" t="s">
        <v>545</v>
      </c>
      <c r="W104" s="40" t="s">
        <v>545</v>
      </c>
      <c r="X104"/>
      <c r="Y104"/>
    </row>
    <row r="105" spans="1:25" hidden="1" x14ac:dyDescent="0.25">
      <c r="A105" s="10">
        <v>39</v>
      </c>
      <c r="B105" s="1">
        <f>IFERROR(VLOOKUP(ТабПозиции[[#This Row],[orderNum]],ТабЗаказы[#Data],MATCH(B$7,ТабЗаказы[#Headers],0),0),"")</f>
        <v>45381</v>
      </c>
      <c r="C105" t="str">
        <f>MONTH(ТабПозиции[[#This Row],[date]])&amp;"/"&amp;YEAR(ТабПозиции[[#This Row],[date]])</f>
        <v>3/2024</v>
      </c>
      <c r="D105" s="1" t="str">
        <f>IFERROR(VLOOKUP(ТабПозиции[[#This Row],[orderNum]],ТабЗаказы[#Data],MATCH(D$7,ТабЗаказы[#Headers],0),0),"")</f>
        <v/>
      </c>
      <c r="E105" s="1" t="str">
        <f>IFERROR(VLOOKUP(ТабПозиции[[#This Row],[orderNum]],ТабЗаказы[#Data],MATCH(E$7,ТабЗаказы[#Headers],0),0),"")</f>
        <v/>
      </c>
      <c r="F105" s="16" t="s">
        <v>645</v>
      </c>
      <c r="G105" s="40" t="s">
        <v>545</v>
      </c>
      <c r="H105" s="17"/>
      <c r="I105" s="18"/>
      <c r="J105" s="10">
        <v>1</v>
      </c>
      <c r="L105">
        <v>0</v>
      </c>
      <c r="M105" s="10">
        <v>306</v>
      </c>
      <c r="N105">
        <f t="shared" si="1"/>
        <v>306</v>
      </c>
      <c r="P1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Row],[orderNum]],ТабПозиции[orderSumm])&gt;1500),ABS(N105*VLOOKUP(ТабПозиции[[#This Row],[orderNum]],ТабЗаказы[#Data],MATCH("Percent",ТабЗаказы[#Headers],0),0))/100,200/COUNTIF(ТабПозиции[orderNum],ТабПозиции[[#This Row],[orderNum]])),0),"")</f>
        <v>46</v>
      </c>
      <c r="Q105">
        <f>IF(OR(ТабПозиции[[#This Row],[item]]="По штрихкоду",ТабПозиции[[#This Row],[item]]="Посылка"),ТабПозиции[[#This Row],[deliverySumm]]+ТабПозиции[[#This Row],[deliveryPost]],SUM(N105:P105))</f>
        <v>352</v>
      </c>
      <c r="R105" s="41">
        <v>352</v>
      </c>
      <c r="S105" s="46">
        <f>ТабПозиции[[#This Row],[totalSumm]]-ТабПозиции[[#This Row],[payment]]</f>
        <v>0</v>
      </c>
      <c r="T105" s="18" t="s">
        <v>580</v>
      </c>
      <c r="U105" s="40" t="s">
        <v>545</v>
      </c>
      <c r="V105" s="40" t="s">
        <v>545</v>
      </c>
      <c r="W105" s="40" t="s">
        <v>545</v>
      </c>
      <c r="X105"/>
      <c r="Y105"/>
    </row>
    <row r="106" spans="1:25" hidden="1" x14ac:dyDescent="0.25">
      <c r="A106" s="10">
        <v>39</v>
      </c>
      <c r="B106" s="1">
        <f>IFERROR(VLOOKUP(ТабПозиции[[#This Row],[orderNum]],ТабЗаказы[#Data],MATCH(B$7,ТабЗаказы[#Headers],0),0),"")</f>
        <v>45381</v>
      </c>
      <c r="C106" t="str">
        <f>MONTH(ТабПозиции[[#This Row],[date]])&amp;"/"&amp;YEAR(ТабПозиции[[#This Row],[date]])</f>
        <v>3/2024</v>
      </c>
      <c r="D106" s="1" t="str">
        <f>IFERROR(VLOOKUP(ТабПозиции[[#This Row],[orderNum]],ТабЗаказы[#Data],MATCH(D$7,ТабЗаказы[#Headers],0),0),"")</f>
        <v/>
      </c>
      <c r="E106" s="1" t="str">
        <f>IFERROR(VLOOKUP(ТабПозиции[[#This Row],[orderNum]],ТабЗаказы[#Data],MATCH(E$7,ТабЗаказы[#Headers],0),0),"")</f>
        <v/>
      </c>
      <c r="F106" s="16" t="s">
        <v>646</v>
      </c>
      <c r="G106" s="40" t="s">
        <v>545</v>
      </c>
      <c r="H106" s="17"/>
      <c r="I106" s="18"/>
      <c r="J106" s="10">
        <v>1</v>
      </c>
      <c r="L106">
        <v>0</v>
      </c>
      <c r="M106" s="10">
        <v>1751</v>
      </c>
      <c r="N106">
        <f t="shared" si="1"/>
        <v>1751</v>
      </c>
      <c r="P1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Row],[orderNum]],ТабПозиции[orderSumm])&gt;1500),ABS(N106*VLOOKUP(ТабПозиции[[#This Row],[orderNum]],ТабЗаказы[#Data],MATCH("Percent",ТабЗаказы[#Headers],0),0))/100,200/COUNTIF(ТабПозиции[orderNum],ТабПозиции[[#This Row],[orderNum]])),0),"")</f>
        <v>263</v>
      </c>
      <c r="Q106">
        <f>IF(OR(ТабПозиции[[#This Row],[item]]="По штрихкоду",ТабПозиции[[#This Row],[item]]="Посылка"),ТабПозиции[[#This Row],[deliverySumm]]+ТабПозиции[[#This Row],[deliveryPost]],SUM(N106:P106))</f>
        <v>2014</v>
      </c>
      <c r="R106" s="41">
        <v>2014</v>
      </c>
      <c r="S106" s="46">
        <f>ТабПозиции[[#This Row],[totalSumm]]-ТабПозиции[[#This Row],[payment]]</f>
        <v>0</v>
      </c>
      <c r="T106" s="18" t="s">
        <v>580</v>
      </c>
      <c r="U106" s="40" t="s">
        <v>545</v>
      </c>
      <c r="V106" s="40" t="s">
        <v>545</v>
      </c>
      <c r="W106" s="40" t="s">
        <v>545</v>
      </c>
      <c r="X106"/>
      <c r="Y106"/>
    </row>
    <row r="107" spans="1:25" hidden="1" x14ac:dyDescent="0.25">
      <c r="A107" s="10">
        <v>39</v>
      </c>
      <c r="B107" s="1">
        <f>IFERROR(VLOOKUP(ТабПозиции[[#This Row],[orderNum]],ТабЗаказы[#Data],MATCH(B$7,ТабЗаказы[#Headers],0),0),"")</f>
        <v>45381</v>
      </c>
      <c r="C107" t="str">
        <f>MONTH(ТабПозиции[[#This Row],[date]])&amp;"/"&amp;YEAR(ТабПозиции[[#This Row],[date]])</f>
        <v>3/2024</v>
      </c>
      <c r="D107" s="1" t="str">
        <f>IFERROR(VLOOKUP(ТабПозиции[[#This Row],[orderNum]],ТабЗаказы[#Data],MATCH(D$7,ТабЗаказы[#Headers],0),0),"")</f>
        <v/>
      </c>
      <c r="E107" s="1" t="str">
        <f>IFERROR(VLOOKUP(ТабПозиции[[#This Row],[orderNum]],ТабЗаказы[#Data],MATCH(E$7,ТабЗаказы[#Headers],0),0),"")</f>
        <v/>
      </c>
      <c r="F107" s="16" t="s">
        <v>647</v>
      </c>
      <c r="G107" s="40" t="s">
        <v>545</v>
      </c>
      <c r="H107" s="17"/>
      <c r="I107" s="18"/>
      <c r="J107" s="10">
        <v>2</v>
      </c>
      <c r="L107">
        <v>0</v>
      </c>
      <c r="M107" s="10">
        <v>214</v>
      </c>
      <c r="N107">
        <f t="shared" si="1"/>
        <v>428</v>
      </c>
      <c r="P1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Row],[orderNum]],ТабПозиции[orderSumm])&gt;1500),ABS(N107*VLOOKUP(ТабПозиции[[#This Row],[orderNum]],ТабЗаказы[#Data],MATCH("Percent",ТабЗаказы[#Headers],0),0))/100,200/COUNTIF(ТабПозиции[orderNum],ТабПозиции[[#This Row],[orderNum]])),0),"")</f>
        <v>64</v>
      </c>
      <c r="Q107">
        <f>IF(OR(ТабПозиции[[#This Row],[item]]="По штрихкоду",ТабПозиции[[#This Row],[item]]="Посылка"),ТабПозиции[[#This Row],[deliverySumm]]+ТабПозиции[[#This Row],[deliveryPost]],SUM(N107:P107))</f>
        <v>492</v>
      </c>
      <c r="R107" s="41">
        <v>492</v>
      </c>
      <c r="S107" s="46">
        <f>ТабПозиции[[#This Row],[totalSumm]]-ТабПозиции[[#This Row],[payment]]</f>
        <v>0</v>
      </c>
      <c r="T107" s="18" t="s">
        <v>580</v>
      </c>
      <c r="U107" s="40" t="s">
        <v>545</v>
      </c>
      <c r="V107" s="40" t="s">
        <v>545</v>
      </c>
      <c r="W107" s="40" t="s">
        <v>545</v>
      </c>
      <c r="X107"/>
      <c r="Y107"/>
    </row>
    <row r="108" spans="1:25" hidden="1" x14ac:dyDescent="0.25">
      <c r="A108" s="10">
        <v>39</v>
      </c>
      <c r="B108" s="1">
        <f>IFERROR(VLOOKUP(ТабПозиции[[#This Row],[orderNum]],ТабЗаказы[#Data],MATCH(B$7,ТабЗаказы[#Headers],0),0),"")</f>
        <v>45381</v>
      </c>
      <c r="C108" t="str">
        <f>MONTH(ТабПозиции[[#This Row],[date]])&amp;"/"&amp;YEAR(ТабПозиции[[#This Row],[date]])</f>
        <v>3/2024</v>
      </c>
      <c r="D108" s="1" t="str">
        <f>IFERROR(VLOOKUP(ТабПозиции[[#This Row],[orderNum]],ТабЗаказы[#Data],MATCH(D$7,ТабЗаказы[#Headers],0),0),"")</f>
        <v/>
      </c>
      <c r="E108" s="1" t="str">
        <f>IFERROR(VLOOKUP(ТабПозиции[[#This Row],[orderNum]],ТабЗаказы[#Data],MATCH(E$7,ТабЗаказы[#Headers],0),0),"")</f>
        <v/>
      </c>
      <c r="F108" s="16" t="s">
        <v>648</v>
      </c>
      <c r="G108" s="40" t="s">
        <v>545</v>
      </c>
      <c r="H108" s="17"/>
      <c r="I108" s="18"/>
      <c r="J108" s="10">
        <v>1</v>
      </c>
      <c r="L108">
        <v>0</v>
      </c>
      <c r="M108" s="10">
        <v>225</v>
      </c>
      <c r="N108">
        <f t="shared" si="1"/>
        <v>225</v>
      </c>
      <c r="P1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Row],[orderNum]],ТабПозиции[orderSumm])&gt;1500),ABS(N108*VLOOKUP(ТабПозиции[[#This Row],[orderNum]],ТабЗаказы[#Data],MATCH("Percent",ТабЗаказы[#Headers],0),0))/100,200/COUNTIF(ТабПозиции[orderNum],ТабПозиции[[#This Row],[orderNum]])),0),"")</f>
        <v>34</v>
      </c>
      <c r="Q108">
        <f>IF(OR(ТабПозиции[[#This Row],[item]]="По штрихкоду",ТабПозиции[[#This Row],[item]]="Посылка"),ТабПозиции[[#This Row],[deliverySumm]]+ТабПозиции[[#This Row],[deliveryPost]],SUM(N108:P108))</f>
        <v>259</v>
      </c>
      <c r="R108" s="41">
        <v>259</v>
      </c>
      <c r="S108" s="46">
        <f>ТабПозиции[[#This Row],[totalSumm]]-ТабПозиции[[#This Row],[payment]]</f>
        <v>0</v>
      </c>
      <c r="T108" s="18" t="s">
        <v>580</v>
      </c>
      <c r="U108" s="40" t="s">
        <v>545</v>
      </c>
      <c r="V108" s="40" t="s">
        <v>545</v>
      </c>
      <c r="W108" s="40" t="s">
        <v>545</v>
      </c>
      <c r="X108"/>
      <c r="Y108"/>
    </row>
    <row r="109" spans="1:25" hidden="1" x14ac:dyDescent="0.25">
      <c r="A109" s="10">
        <v>40</v>
      </c>
      <c r="B109" s="1">
        <f>IFERROR(VLOOKUP(ТабПозиции[[#This Row],[orderNum]],ТабЗаказы[#Data],MATCH(B$7,ТабЗаказы[#Headers],0),0),"")</f>
        <v>45381</v>
      </c>
      <c r="C109" t="str">
        <f>MONTH(ТабПозиции[[#This Row],[date]])&amp;"/"&amp;YEAR(ТабПозиции[[#This Row],[date]])</f>
        <v>3/2024</v>
      </c>
      <c r="D109" s="1" t="str">
        <f>IFERROR(VLOOKUP(ТабПозиции[[#This Row],[orderNum]],ТабЗаказы[#Data],MATCH(D$7,ТабЗаказы[#Headers],0),0),"")</f>
        <v/>
      </c>
      <c r="E109" s="1" t="str">
        <f>IFERROR(VLOOKUP(ТабПозиции[[#This Row],[orderNum]],ТабЗаказы[#Data],MATCH(E$7,ТабЗаказы[#Headers],0),0),"")</f>
        <v/>
      </c>
      <c r="F109" s="16" t="s">
        <v>649</v>
      </c>
      <c r="G109" s="40" t="s">
        <v>545</v>
      </c>
      <c r="H109" s="17"/>
      <c r="I109" s="18">
        <v>45385</v>
      </c>
      <c r="J109" s="10">
        <v>1</v>
      </c>
      <c r="L109">
        <v>0</v>
      </c>
      <c r="M109" s="10">
        <v>1472</v>
      </c>
      <c r="N109">
        <f t="shared" si="1"/>
        <v>1472</v>
      </c>
      <c r="O109" s="10">
        <v>74</v>
      </c>
      <c r="P1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Row],[orderNum]],ТабПозиции[orderSumm])&gt;1500),ABS(N109*VLOOKUP(ТабПозиции[[#This Row],[orderNum]],ТабЗаказы[#Data],MATCH("Percent",ТабЗаказы[#Headers],0),0))/100,200/COUNTIF(ТабПозиции[orderNum],ТабПозиции[[#This Row],[orderNum]])),0),"")</f>
        <v>147</v>
      </c>
      <c r="Q109">
        <f>IF(OR(ТабПозиции[[#This Row],[item]]="По штрихкоду",ТабПозиции[[#This Row],[item]]="Посылка"),ТабПозиции[[#This Row],[deliverySumm]]+ТабПозиции[[#This Row],[deliveryPost]],SUM(N109:P109))</f>
        <v>1693</v>
      </c>
      <c r="R109" s="41">
        <v>1693</v>
      </c>
      <c r="S109" s="46">
        <f>ТабПозиции[[#This Row],[totalSumm]]-ТабПозиции[[#This Row],[payment]]</f>
        <v>0</v>
      </c>
      <c r="T109" s="18" t="s">
        <v>563</v>
      </c>
      <c r="U109" s="40" t="s">
        <v>545</v>
      </c>
      <c r="V109" s="40" t="s">
        <v>545</v>
      </c>
      <c r="W109" s="40" t="s">
        <v>545</v>
      </c>
      <c r="X109"/>
      <c r="Y109"/>
    </row>
    <row r="110" spans="1:25" hidden="1" x14ac:dyDescent="0.25">
      <c r="A110" s="10">
        <v>40</v>
      </c>
      <c r="B110" s="1">
        <f>IFERROR(VLOOKUP(ТабПозиции[[#This Row],[orderNum]],ТабЗаказы[#Data],MATCH(B$7,ТабЗаказы[#Headers],0),0),"")</f>
        <v>45381</v>
      </c>
      <c r="C110" t="str">
        <f>MONTH(ТабПозиции[[#This Row],[date]])&amp;"/"&amp;YEAR(ТабПозиции[[#This Row],[date]])</f>
        <v>3/2024</v>
      </c>
      <c r="D110" s="1" t="str">
        <f>IFERROR(VLOOKUP(ТабПозиции[[#This Row],[orderNum]],ТабЗаказы[#Data],MATCH(D$7,ТабЗаказы[#Headers],0),0),"")</f>
        <v/>
      </c>
      <c r="E110" s="1" t="str">
        <f>IFERROR(VLOOKUP(ТабПозиции[[#This Row],[orderNum]],ТабЗаказы[#Data],MATCH(E$7,ТабЗаказы[#Headers],0),0),"")</f>
        <v/>
      </c>
      <c r="F110" s="16" t="s">
        <v>650</v>
      </c>
      <c r="G110" s="40" t="s">
        <v>545</v>
      </c>
      <c r="H110" s="17"/>
      <c r="I110" s="18">
        <v>45383</v>
      </c>
      <c r="J110" s="10">
        <v>1</v>
      </c>
      <c r="L110">
        <v>0</v>
      </c>
      <c r="M110" s="10">
        <v>1740</v>
      </c>
      <c r="N110">
        <f t="shared" si="1"/>
        <v>1740</v>
      </c>
      <c r="O110" s="10">
        <v>87</v>
      </c>
      <c r="P1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Row],[orderNum]],ТабПозиции[orderSumm])&gt;1500),ABS(N110*VLOOKUP(ТабПозиции[[#This Row],[orderNum]],ТабЗаказы[#Data],MATCH("Percent",ТабЗаказы[#Headers],0),0))/100,200/COUNTIF(ТабПозиции[orderNum],ТабПозиции[[#This Row],[orderNum]])),0),"")</f>
        <v>174</v>
      </c>
      <c r="Q110">
        <f>IF(OR(ТабПозиции[[#This Row],[item]]="По штрихкоду",ТабПозиции[[#This Row],[item]]="Посылка"),ТабПозиции[[#This Row],[deliverySumm]]+ТабПозиции[[#This Row],[deliveryPost]],SUM(N110:P110))</f>
        <v>2001</v>
      </c>
      <c r="R110" s="41">
        <v>2001</v>
      </c>
      <c r="S110" s="46">
        <f>ТабПозиции[[#This Row],[totalSumm]]-ТабПозиции[[#This Row],[payment]]</f>
        <v>0</v>
      </c>
      <c r="T110" s="18" t="s">
        <v>563</v>
      </c>
      <c r="U110" s="40" t="s">
        <v>545</v>
      </c>
      <c r="V110" s="40" t="s">
        <v>545</v>
      </c>
      <c r="W110" s="40" t="s">
        <v>545</v>
      </c>
      <c r="X110"/>
      <c r="Y110"/>
    </row>
    <row r="111" spans="1:25" hidden="1" x14ac:dyDescent="0.25">
      <c r="A111" s="10">
        <v>40</v>
      </c>
      <c r="B111" s="1">
        <f>IFERROR(VLOOKUP(ТабПозиции[[#This Row],[orderNum]],ТабЗаказы[#Data],MATCH(B$7,ТабЗаказы[#Headers],0),0),"")</f>
        <v>45381</v>
      </c>
      <c r="C111" t="str">
        <f>MONTH(ТабПозиции[[#This Row],[date]])&amp;"/"&amp;YEAR(ТабПозиции[[#This Row],[date]])</f>
        <v>3/2024</v>
      </c>
      <c r="D111" s="1" t="str">
        <f>IFERROR(VLOOKUP(ТабПозиции[[#This Row],[orderNum]],ТабЗаказы[#Data],MATCH(D$7,ТабЗаказы[#Headers],0),0),"")</f>
        <v/>
      </c>
      <c r="E111" s="1" t="str">
        <f>IFERROR(VLOOKUP(ТабПозиции[[#This Row],[orderNum]],ТабЗаказы[#Data],MATCH(E$7,ТабЗаказы[#Headers],0),0),"")</f>
        <v/>
      </c>
      <c r="F111" s="16" t="s">
        <v>651</v>
      </c>
      <c r="G111" s="40" t="s">
        <v>545</v>
      </c>
      <c r="H111" s="17"/>
      <c r="I111" s="18">
        <v>45383</v>
      </c>
      <c r="J111" s="10">
        <v>1</v>
      </c>
      <c r="L111">
        <v>0</v>
      </c>
      <c r="M111" s="10">
        <v>1804</v>
      </c>
      <c r="N111">
        <f t="shared" si="1"/>
        <v>1804</v>
      </c>
      <c r="O111" s="10">
        <v>91</v>
      </c>
      <c r="P1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Row],[orderNum]],ТабПозиции[orderSumm])&gt;1500),ABS(N111*VLOOKUP(ТабПозиции[[#This Row],[orderNum]],ТабЗаказы[#Data],MATCH("Percent",ТабЗаказы[#Headers],0),0))/100,200/COUNTIF(ТабПозиции[orderNum],ТабПозиции[[#This Row],[orderNum]])),0),"")</f>
        <v>180</v>
      </c>
      <c r="Q111">
        <f>IF(OR(ТабПозиции[[#This Row],[item]]="По штрихкоду",ТабПозиции[[#This Row],[item]]="Посылка"),ТабПозиции[[#This Row],[deliverySumm]]+ТабПозиции[[#This Row],[deliveryPost]],SUM(N111:P111))</f>
        <v>2075</v>
      </c>
      <c r="R111" s="41">
        <v>2075</v>
      </c>
      <c r="S111" s="46">
        <f>ТабПозиции[[#This Row],[totalSumm]]-ТабПозиции[[#This Row],[payment]]</f>
        <v>0</v>
      </c>
      <c r="T111" s="18" t="s">
        <v>563</v>
      </c>
      <c r="U111" s="40" t="s">
        <v>545</v>
      </c>
      <c r="V111" s="40" t="s">
        <v>545</v>
      </c>
      <c r="W111" s="40" t="s">
        <v>545</v>
      </c>
      <c r="X111"/>
      <c r="Y111"/>
    </row>
    <row r="112" spans="1:25" hidden="1" x14ac:dyDescent="0.25">
      <c r="A112" s="10">
        <v>40</v>
      </c>
      <c r="B112" s="1">
        <f>IFERROR(VLOOKUP(ТабПозиции[[#This Row],[orderNum]],ТабЗаказы[#Data],MATCH(B$7,ТабЗаказы[#Headers],0),0),"")</f>
        <v>45381</v>
      </c>
      <c r="C112" t="str">
        <f>MONTH(ТабПозиции[[#This Row],[date]])&amp;"/"&amp;YEAR(ТабПозиции[[#This Row],[date]])</f>
        <v>3/2024</v>
      </c>
      <c r="D112" s="1" t="str">
        <f>IFERROR(VLOOKUP(ТабПозиции[[#This Row],[orderNum]],ТабЗаказы[#Data],MATCH(D$7,ТабЗаказы[#Headers],0),0),"")</f>
        <v/>
      </c>
      <c r="E112" s="1" t="str">
        <f>IFERROR(VLOOKUP(ТабПозиции[[#This Row],[orderNum]],ТабЗаказы[#Data],MATCH(E$7,ТабЗаказы[#Headers],0),0),"")</f>
        <v/>
      </c>
      <c r="F112" s="16" t="s">
        <v>652</v>
      </c>
      <c r="G112" s="40" t="s">
        <v>545</v>
      </c>
      <c r="H112" s="17"/>
      <c r="I112" s="18">
        <v>45384</v>
      </c>
      <c r="J112" s="10">
        <v>1</v>
      </c>
      <c r="L112">
        <v>0</v>
      </c>
      <c r="M112" s="10">
        <v>3128</v>
      </c>
      <c r="N112">
        <f t="shared" si="1"/>
        <v>3128</v>
      </c>
      <c r="O112" s="10">
        <v>156</v>
      </c>
      <c r="P1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Row],[orderNum]],ТабПозиции[orderSumm])&gt;1500),ABS(N112*VLOOKUP(ТабПозиции[[#This Row],[orderNum]],ТабЗаказы[#Data],MATCH("Percent",ТабЗаказы[#Headers],0),0))/100,200/COUNTIF(ТабПозиции[orderNum],ТабПозиции[[#This Row],[orderNum]])),0),"")</f>
        <v>313</v>
      </c>
      <c r="Q112">
        <f>IF(OR(ТабПозиции[[#This Row],[item]]="По штрихкоду",ТабПозиции[[#This Row],[item]]="Посылка"),ТабПозиции[[#This Row],[deliverySumm]]+ТабПозиции[[#This Row],[deliveryPost]],SUM(N112:P112))</f>
        <v>3597</v>
      </c>
      <c r="R112" s="41">
        <v>3597</v>
      </c>
      <c r="S112" s="46">
        <f>ТабПозиции[[#This Row],[totalSumm]]-ТабПозиции[[#This Row],[payment]]</f>
        <v>0</v>
      </c>
      <c r="T112" s="18" t="s">
        <v>563</v>
      </c>
      <c r="U112" s="40" t="s">
        <v>545</v>
      </c>
      <c r="V112" s="40" t="s">
        <v>545</v>
      </c>
      <c r="W112" s="40" t="s">
        <v>545</v>
      </c>
      <c r="X112"/>
      <c r="Y112"/>
    </row>
    <row r="113" spans="1:25" hidden="1" x14ac:dyDescent="0.25">
      <c r="A113" s="10">
        <v>40</v>
      </c>
      <c r="B113" s="1">
        <f>IFERROR(VLOOKUP(ТабПозиции[[#This Row],[orderNum]],ТабЗаказы[#Data],MATCH(B$7,ТабЗаказы[#Headers],0),0),"")</f>
        <v>45381</v>
      </c>
      <c r="C113" t="str">
        <f>MONTH(ТабПозиции[[#This Row],[date]])&amp;"/"&amp;YEAR(ТабПозиции[[#This Row],[date]])</f>
        <v>3/2024</v>
      </c>
      <c r="D113" s="1" t="str">
        <f>IFERROR(VLOOKUP(ТабПозиции[[#This Row],[orderNum]],ТабЗаказы[#Data],MATCH(D$7,ТабЗаказы[#Headers],0),0),"")</f>
        <v/>
      </c>
      <c r="E113" s="1" t="str">
        <f>IFERROR(VLOOKUP(ТабПозиции[[#This Row],[orderNum]],ТабЗаказы[#Data],MATCH(E$7,ТабЗаказы[#Headers],0),0),"")</f>
        <v/>
      </c>
      <c r="F113" s="16" t="s">
        <v>653</v>
      </c>
      <c r="G113" s="40" t="s">
        <v>545</v>
      </c>
      <c r="H113" s="17"/>
      <c r="I113" s="18">
        <v>45384</v>
      </c>
      <c r="J113" s="10">
        <v>1</v>
      </c>
      <c r="L113">
        <v>0</v>
      </c>
      <c r="M113" s="10">
        <v>520</v>
      </c>
      <c r="N113">
        <f t="shared" si="1"/>
        <v>520</v>
      </c>
      <c r="O113" s="10">
        <v>26</v>
      </c>
      <c r="P1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Row],[orderNum]],ТабПозиции[orderSumm])&gt;1500),ABS(N113*VLOOKUP(ТабПозиции[[#This Row],[orderNum]],ТабЗаказы[#Data],MATCH("Percent",ТабЗаказы[#Headers],0),0))/100,200/COUNTIF(ТабПозиции[orderNum],ТабПозиции[[#This Row],[orderNum]])),0),"")</f>
        <v>52</v>
      </c>
      <c r="Q113">
        <f>IF(OR(ТабПозиции[[#This Row],[item]]="По штрихкоду",ТабПозиции[[#This Row],[item]]="Посылка"),ТабПозиции[[#This Row],[deliverySumm]]+ТабПозиции[[#This Row],[deliveryPost]],SUM(N113:P113))</f>
        <v>598</v>
      </c>
      <c r="R113" s="41">
        <v>598</v>
      </c>
      <c r="S113" s="46">
        <f>ТабПозиции[[#This Row],[totalSumm]]-ТабПозиции[[#This Row],[payment]]</f>
        <v>0</v>
      </c>
      <c r="T113" s="18" t="s">
        <v>580</v>
      </c>
      <c r="U113" s="40" t="s">
        <v>545</v>
      </c>
      <c r="V113" s="40" t="s">
        <v>545</v>
      </c>
      <c r="W113" s="40" t="s">
        <v>545</v>
      </c>
      <c r="X113"/>
      <c r="Y113"/>
    </row>
    <row r="114" spans="1:25" hidden="1" x14ac:dyDescent="0.25">
      <c r="A114" s="10">
        <v>40</v>
      </c>
      <c r="B114" s="1">
        <f>IFERROR(VLOOKUP(ТабПозиции[[#This Row],[orderNum]],ТабЗаказы[#Data],MATCH(B$7,ТабЗаказы[#Headers],0),0),"")</f>
        <v>45381</v>
      </c>
      <c r="C114" t="str">
        <f>MONTH(ТабПозиции[[#This Row],[date]])&amp;"/"&amp;YEAR(ТабПозиции[[#This Row],[date]])</f>
        <v>3/2024</v>
      </c>
      <c r="D114" s="1" t="str">
        <f>IFERROR(VLOOKUP(ТабПозиции[[#This Row],[orderNum]],ТабЗаказы[#Data],MATCH(D$7,ТабЗаказы[#Headers],0),0),"")</f>
        <v/>
      </c>
      <c r="E114" s="1" t="str">
        <f>IFERROR(VLOOKUP(ТабПозиции[[#This Row],[orderNum]],ТабЗаказы[#Data],MATCH(E$7,ТабЗаказы[#Headers],0),0),"")</f>
        <v/>
      </c>
      <c r="F114" s="16" t="s">
        <v>654</v>
      </c>
      <c r="G114" s="40" t="s">
        <v>545</v>
      </c>
      <c r="H114" s="17"/>
      <c r="I114" s="18">
        <v>45390</v>
      </c>
      <c r="J114" s="10">
        <v>1</v>
      </c>
      <c r="L114">
        <v>0</v>
      </c>
      <c r="M114" s="10">
        <v>1273</v>
      </c>
      <c r="N114">
        <f t="shared" si="1"/>
        <v>1273</v>
      </c>
      <c r="O114" s="10">
        <v>64</v>
      </c>
      <c r="P1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Row],[orderNum]],ТабПозиции[orderSumm])&gt;1500),ABS(N114*VLOOKUP(ТабПозиции[[#This Row],[orderNum]],ТабЗаказы[#Data],MATCH("Percent",ТабЗаказы[#Headers],0),0))/100,200/COUNTIF(ТабПозиции[orderNum],ТабПозиции[[#This Row],[orderNum]])),0),"")</f>
        <v>127</v>
      </c>
      <c r="Q114">
        <f>IF(OR(ТабПозиции[[#This Row],[item]]="По штрихкоду",ТабПозиции[[#This Row],[item]]="Посылка"),ТабПозиции[[#This Row],[deliverySumm]]+ТабПозиции[[#This Row],[deliveryPost]],SUM(N114:P114))</f>
        <v>1464</v>
      </c>
      <c r="R114" s="41">
        <v>1464</v>
      </c>
      <c r="S114" s="46">
        <f>ТабПозиции[[#This Row],[totalSumm]]-ТабПозиции[[#This Row],[payment]]</f>
        <v>0</v>
      </c>
      <c r="T114" s="18" t="s">
        <v>580</v>
      </c>
      <c r="U114" s="40" t="s">
        <v>545</v>
      </c>
      <c r="V114" s="40" t="s">
        <v>545</v>
      </c>
      <c r="W114" s="40" t="s">
        <v>545</v>
      </c>
      <c r="X114"/>
      <c r="Y114"/>
    </row>
    <row r="115" spans="1:25" hidden="1" x14ac:dyDescent="0.25">
      <c r="A115" s="10">
        <v>40</v>
      </c>
      <c r="B115" s="1">
        <f>IFERROR(VLOOKUP(ТабПозиции[[#This Row],[orderNum]],ТабЗаказы[#Data],MATCH(B$7,ТабЗаказы[#Headers],0),0),"")</f>
        <v>45381</v>
      </c>
      <c r="C115" t="str">
        <f>MONTH(ТабПозиции[[#This Row],[date]])&amp;"/"&amp;YEAR(ТабПозиции[[#This Row],[date]])</f>
        <v>3/2024</v>
      </c>
      <c r="D115" s="1" t="str">
        <f>IFERROR(VLOOKUP(ТабПозиции[[#This Row],[orderNum]],ТабЗаказы[#Data],MATCH(D$7,ТабЗаказы[#Headers],0),0),"")</f>
        <v/>
      </c>
      <c r="E115" s="1" t="str">
        <f>IFERROR(VLOOKUP(ТабПозиции[[#This Row],[orderNum]],ТабЗаказы[#Data],MATCH(E$7,ТабЗаказы[#Headers],0),0),"")</f>
        <v/>
      </c>
      <c r="F115" s="16" t="s">
        <v>655</v>
      </c>
      <c r="G115" s="40" t="s">
        <v>545</v>
      </c>
      <c r="H115" s="17"/>
      <c r="I115" s="18">
        <v>45387</v>
      </c>
      <c r="J115" s="10">
        <v>1</v>
      </c>
      <c r="L115">
        <v>0</v>
      </c>
      <c r="M115" s="10">
        <v>227</v>
      </c>
      <c r="N115">
        <f t="shared" si="1"/>
        <v>227</v>
      </c>
      <c r="O115" s="10">
        <v>11</v>
      </c>
      <c r="P1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Row],[orderNum]],ТабПозиции[orderSumm])&gt;1500),ABS(N115*VLOOKUP(ТабПозиции[[#This Row],[orderNum]],ТабЗаказы[#Data],MATCH("Percent",ТабЗаказы[#Headers],0),0))/100,200/COUNTIF(ТабПозиции[orderNum],ТабПозиции[[#This Row],[orderNum]])),0),"")</f>
        <v>23</v>
      </c>
      <c r="Q115">
        <f>IF(OR(ТабПозиции[[#This Row],[item]]="По штрихкоду",ТабПозиции[[#This Row],[item]]="Посылка"),ТабПозиции[[#This Row],[deliverySumm]]+ТабПозиции[[#This Row],[deliveryPost]],SUM(N115:P115))</f>
        <v>261</v>
      </c>
      <c r="R115" s="41">
        <v>261</v>
      </c>
      <c r="S115" s="46">
        <f>ТабПозиции[[#This Row],[totalSumm]]-ТабПозиции[[#This Row],[payment]]</f>
        <v>0</v>
      </c>
      <c r="T115" s="18" t="s">
        <v>580</v>
      </c>
      <c r="U115" s="40" t="s">
        <v>545</v>
      </c>
      <c r="V115" s="40" t="s">
        <v>545</v>
      </c>
      <c r="W115" s="40" t="s">
        <v>545</v>
      </c>
      <c r="X115"/>
      <c r="Y115"/>
    </row>
    <row r="116" spans="1:25" hidden="1" x14ac:dyDescent="0.25">
      <c r="A116" s="10">
        <v>40</v>
      </c>
      <c r="B116" s="1">
        <f>IFERROR(VLOOKUP(ТабПозиции[[#This Row],[orderNum]],ТабЗаказы[#Data],MATCH(B$7,ТабЗаказы[#Headers],0),0),"")</f>
        <v>45381</v>
      </c>
      <c r="C116" t="str">
        <f>MONTH(ТабПозиции[[#This Row],[date]])&amp;"/"&amp;YEAR(ТабПозиции[[#This Row],[date]])</f>
        <v>3/2024</v>
      </c>
      <c r="D116" s="1" t="str">
        <f>IFERROR(VLOOKUP(ТабПозиции[[#This Row],[orderNum]],ТабЗаказы[#Data],MATCH(D$7,ТабЗаказы[#Headers],0),0),"")</f>
        <v/>
      </c>
      <c r="E116" s="1" t="str">
        <f>IFERROR(VLOOKUP(ТабПозиции[[#This Row],[orderNum]],ТабЗаказы[#Data],MATCH(E$7,ТабЗаказы[#Headers],0),0),"")</f>
        <v/>
      </c>
      <c r="F116" s="16" t="s">
        <v>656</v>
      </c>
      <c r="G116" s="40" t="s">
        <v>545</v>
      </c>
      <c r="H116" s="17"/>
      <c r="I116" s="18">
        <v>45384</v>
      </c>
      <c r="J116" s="10">
        <v>1</v>
      </c>
      <c r="L116">
        <v>0</v>
      </c>
      <c r="M116" s="10">
        <v>849</v>
      </c>
      <c r="N116">
        <f t="shared" si="1"/>
        <v>849</v>
      </c>
      <c r="O116" s="10">
        <v>42</v>
      </c>
      <c r="P1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Row],[orderNum]],ТабПозиции[orderSumm])&gt;1500),ABS(N116*VLOOKUP(ТабПозиции[[#This Row],[orderNum]],ТабЗаказы[#Data],MATCH("Percent",ТабЗаказы[#Headers],0),0))/100,200/COUNTIF(ТабПозиции[orderNum],ТабПозиции[[#This Row],[orderNum]])),0),"")</f>
        <v>85</v>
      </c>
      <c r="Q116">
        <f>IF(OR(ТабПозиции[[#This Row],[item]]="По штрихкоду",ТабПозиции[[#This Row],[item]]="Посылка"),ТабПозиции[[#This Row],[deliverySumm]]+ТабПозиции[[#This Row],[deliveryPost]],SUM(N116:P116))</f>
        <v>976</v>
      </c>
      <c r="R116" s="41">
        <v>976</v>
      </c>
      <c r="S116" s="46">
        <f>ТабПозиции[[#This Row],[totalSumm]]-ТабПозиции[[#This Row],[payment]]</f>
        <v>0</v>
      </c>
      <c r="T116" s="18" t="s">
        <v>580</v>
      </c>
      <c r="U116" s="40" t="s">
        <v>545</v>
      </c>
      <c r="V116" s="40" t="s">
        <v>545</v>
      </c>
      <c r="W116" s="40" t="s">
        <v>545</v>
      </c>
      <c r="X116"/>
      <c r="Y116"/>
    </row>
    <row r="117" spans="1:25" hidden="1" x14ac:dyDescent="0.25">
      <c r="A117" s="10">
        <v>40</v>
      </c>
      <c r="B117" s="1">
        <f>IFERROR(VLOOKUP(ТабПозиции[[#This Row],[orderNum]],ТабЗаказы[#Data],MATCH(B$7,ТабЗаказы[#Headers],0),0),"")</f>
        <v>45381</v>
      </c>
      <c r="C117" t="str">
        <f>MONTH(ТабПозиции[[#This Row],[date]])&amp;"/"&amp;YEAR(ТабПозиции[[#This Row],[date]])</f>
        <v>3/2024</v>
      </c>
      <c r="D117" s="1" t="str">
        <f>IFERROR(VLOOKUP(ТабПозиции[[#This Row],[orderNum]],ТабЗаказы[#Data],MATCH(D$7,ТабЗаказы[#Headers],0),0),"")</f>
        <v/>
      </c>
      <c r="E117" s="1" t="str">
        <f>IFERROR(VLOOKUP(ТабПозиции[[#This Row],[orderNum]],ТабЗаказы[#Data],MATCH(E$7,ТабЗаказы[#Headers],0),0),"")</f>
        <v/>
      </c>
      <c r="F117" s="16" t="s">
        <v>657</v>
      </c>
      <c r="G117" s="40" t="s">
        <v>545</v>
      </c>
      <c r="H117" s="17"/>
      <c r="I117" s="18">
        <v>45384</v>
      </c>
      <c r="J117" s="10">
        <v>1</v>
      </c>
      <c r="L117">
        <v>0</v>
      </c>
      <c r="M117" s="10">
        <v>1647</v>
      </c>
      <c r="N117">
        <f t="shared" si="1"/>
        <v>1647</v>
      </c>
      <c r="O117" s="10">
        <v>82</v>
      </c>
      <c r="P1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Row],[orderNum]],ТабПозиции[orderSumm])&gt;1500),ABS(N117*VLOOKUP(ТабПозиции[[#This Row],[orderNum]],ТабЗаказы[#Data],MATCH("Percent",ТабЗаказы[#Headers],0),0))/100,200/COUNTIF(ТабПозиции[orderNum],ТабПозиции[[#This Row],[orderNum]])),0),"")</f>
        <v>165</v>
      </c>
      <c r="Q117">
        <f>IF(OR(ТабПозиции[[#This Row],[item]]="По штрихкоду",ТабПозиции[[#This Row],[item]]="Посылка"),ТабПозиции[[#This Row],[deliverySumm]]+ТабПозиции[[#This Row],[deliveryPost]],SUM(N117:P117))</f>
        <v>1894</v>
      </c>
      <c r="R117" s="41">
        <v>1894</v>
      </c>
      <c r="S117" s="46">
        <f>ТабПозиции[[#This Row],[totalSumm]]-ТабПозиции[[#This Row],[payment]]</f>
        <v>0</v>
      </c>
      <c r="T117" s="18" t="s">
        <v>580</v>
      </c>
      <c r="U117" s="40" t="s">
        <v>545</v>
      </c>
      <c r="V117" s="40" t="s">
        <v>545</v>
      </c>
      <c r="W117" s="40" t="s">
        <v>545</v>
      </c>
      <c r="X117"/>
      <c r="Y117"/>
    </row>
    <row r="118" spans="1:25" hidden="1" x14ac:dyDescent="0.25">
      <c r="A118" s="10">
        <v>40</v>
      </c>
      <c r="B118" s="1">
        <f>IFERROR(VLOOKUP(ТабПозиции[[#This Row],[orderNum]],ТабЗаказы[#Data],MATCH(B$7,ТабЗаказы[#Headers],0),0),"")</f>
        <v>45381</v>
      </c>
      <c r="C118" t="str">
        <f>MONTH(ТабПозиции[[#This Row],[date]])&amp;"/"&amp;YEAR(ТабПозиции[[#This Row],[date]])</f>
        <v>3/2024</v>
      </c>
      <c r="D118" s="1" t="str">
        <f>IFERROR(VLOOKUP(ТабПозиции[[#This Row],[orderNum]],ТабЗаказы[#Data],MATCH(D$7,ТабЗаказы[#Headers],0),0),"")</f>
        <v/>
      </c>
      <c r="E118" s="1" t="str">
        <f>IFERROR(VLOOKUP(ТабПозиции[[#This Row],[orderNum]],ТабЗаказы[#Data],MATCH(E$7,ТабЗаказы[#Headers],0),0),"")</f>
        <v/>
      </c>
      <c r="F118" s="16" t="s">
        <v>658</v>
      </c>
      <c r="G118" s="40" t="s">
        <v>545</v>
      </c>
      <c r="H118" s="17"/>
      <c r="I118" s="18">
        <v>45384</v>
      </c>
      <c r="J118" s="10">
        <v>1</v>
      </c>
      <c r="L118">
        <v>0</v>
      </c>
      <c r="M118" s="10">
        <v>531</v>
      </c>
      <c r="N118">
        <f t="shared" si="1"/>
        <v>531</v>
      </c>
      <c r="O118" s="10">
        <v>27</v>
      </c>
      <c r="P1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Row],[orderNum]],ТабПозиции[orderSumm])&gt;1500),ABS(N118*VLOOKUP(ТабПозиции[[#This Row],[orderNum]],ТабЗаказы[#Data],MATCH("Percent",ТабЗаказы[#Headers],0),0))/100,200/COUNTIF(ТабПозиции[orderNum],ТабПозиции[[#This Row],[orderNum]])),0),"")</f>
        <v>53</v>
      </c>
      <c r="Q118">
        <f>IF(OR(ТабПозиции[[#This Row],[item]]="По штрихкоду",ТабПозиции[[#This Row],[item]]="Посылка"),ТабПозиции[[#This Row],[deliverySumm]]+ТабПозиции[[#This Row],[deliveryPost]],SUM(N118:P118))</f>
        <v>611</v>
      </c>
      <c r="R118" s="41">
        <v>611</v>
      </c>
      <c r="S118" s="46">
        <f>ТабПозиции[[#This Row],[totalSumm]]-ТабПозиции[[#This Row],[payment]]</f>
        <v>0</v>
      </c>
      <c r="T118" s="18" t="s">
        <v>580</v>
      </c>
      <c r="U118" s="40" t="s">
        <v>545</v>
      </c>
      <c r="V118" s="40" t="s">
        <v>545</v>
      </c>
      <c r="W118" s="40" t="s">
        <v>545</v>
      </c>
      <c r="X118"/>
      <c r="Y118"/>
    </row>
    <row r="119" spans="1:25" hidden="1" x14ac:dyDescent="0.25">
      <c r="A119" s="10">
        <v>40</v>
      </c>
      <c r="B119" s="1">
        <f>IFERROR(VLOOKUP(ТабПозиции[[#This Row],[orderNum]],ТабЗаказы[#Data],MATCH(B$7,ТабЗаказы[#Headers],0),0),"")</f>
        <v>45381</v>
      </c>
      <c r="C119" t="str">
        <f>MONTH(ТабПозиции[[#This Row],[date]])&amp;"/"&amp;YEAR(ТабПозиции[[#This Row],[date]])</f>
        <v>3/2024</v>
      </c>
      <c r="D119" s="1" t="str">
        <f>IFERROR(VLOOKUP(ТабПозиции[[#This Row],[orderNum]],ТабЗаказы[#Data],MATCH(D$7,ТабЗаказы[#Headers],0),0),"")</f>
        <v/>
      </c>
      <c r="E119" s="1" t="str">
        <f>IFERROR(VLOOKUP(ТабПозиции[[#This Row],[orderNum]],ТабЗаказы[#Data],MATCH(E$7,ТабЗаказы[#Headers],0),0),"")</f>
        <v/>
      </c>
      <c r="F119" s="16" t="s">
        <v>659</v>
      </c>
      <c r="G119" s="40" t="s">
        <v>545</v>
      </c>
      <c r="H119" s="17"/>
      <c r="I119" s="18">
        <v>45388</v>
      </c>
      <c r="J119" s="10">
        <v>1</v>
      </c>
      <c r="L119">
        <v>0</v>
      </c>
      <c r="M119" s="10">
        <v>682</v>
      </c>
      <c r="N119">
        <f t="shared" si="1"/>
        <v>682</v>
      </c>
      <c r="O119" s="10">
        <v>34</v>
      </c>
      <c r="P1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Row],[orderNum]],ТабПозиции[orderSumm])&gt;1500),ABS(N119*VLOOKUP(ТабПозиции[[#This Row],[orderNum]],ТабЗаказы[#Data],MATCH("Percent",ТабЗаказы[#Headers],0),0))/100,200/COUNTIF(ТабПозиции[orderNum],ТабПозиции[[#This Row],[orderNum]])),0),"")</f>
        <v>68</v>
      </c>
      <c r="Q119">
        <f>IF(OR(ТабПозиции[[#This Row],[item]]="По штрихкоду",ТабПозиции[[#This Row],[item]]="Посылка"),ТабПозиции[[#This Row],[deliverySumm]]+ТабПозиции[[#This Row],[deliveryPost]],SUM(N119:P119))</f>
        <v>784</v>
      </c>
      <c r="R119" s="41">
        <v>784</v>
      </c>
      <c r="S119" s="46">
        <f>ТабПозиции[[#This Row],[totalSumm]]-ТабПозиции[[#This Row],[payment]]</f>
        <v>0</v>
      </c>
      <c r="T119" s="18" t="s">
        <v>580</v>
      </c>
      <c r="U119" s="40" t="s">
        <v>545</v>
      </c>
      <c r="V119" s="40" t="s">
        <v>545</v>
      </c>
      <c r="W119" s="40" t="s">
        <v>545</v>
      </c>
      <c r="X119"/>
      <c r="Y119"/>
    </row>
    <row r="120" spans="1:25" hidden="1" x14ac:dyDescent="0.25">
      <c r="A120" s="10">
        <v>40</v>
      </c>
      <c r="B120" s="1">
        <f>IFERROR(VLOOKUP(ТабПозиции[[#This Row],[orderNum]],ТабЗаказы[#Data],MATCH(B$7,ТабЗаказы[#Headers],0),0),"")</f>
        <v>45381</v>
      </c>
      <c r="C120" t="str">
        <f>MONTH(ТабПозиции[[#This Row],[date]])&amp;"/"&amp;YEAR(ТабПозиции[[#This Row],[date]])</f>
        <v>3/2024</v>
      </c>
      <c r="D120" s="1" t="str">
        <f>IFERROR(VLOOKUP(ТабПозиции[[#This Row],[orderNum]],ТабЗаказы[#Data],MATCH(D$7,ТабЗаказы[#Headers],0),0),"")</f>
        <v/>
      </c>
      <c r="E120" s="1" t="str">
        <f>IFERROR(VLOOKUP(ТабПозиции[[#This Row],[orderNum]],ТабЗаказы[#Data],MATCH(E$7,ТабЗаказы[#Headers],0),0),"")</f>
        <v/>
      </c>
      <c r="F120" s="16" t="s">
        <v>660</v>
      </c>
      <c r="G120" s="40" t="s">
        <v>545</v>
      </c>
      <c r="H120" s="17"/>
      <c r="I120" s="18">
        <v>45384</v>
      </c>
      <c r="J120" s="10">
        <v>1</v>
      </c>
      <c r="L120">
        <v>0</v>
      </c>
      <c r="M120" s="10">
        <v>274</v>
      </c>
      <c r="N120">
        <f t="shared" si="1"/>
        <v>274</v>
      </c>
      <c r="O120" s="10">
        <v>14</v>
      </c>
      <c r="P1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20">
        <f>IF(OR(ТабПозиции[[#This Row],[item]]="По штрихкоду",ТабПозиции[[#This Row],[item]]="Посылка"),ТабПозиции[[#This Row],[deliverySumm]]+ТабПозиции[[#This Row],[deliveryPost]],SUM(N120:P120))</f>
        <v>315</v>
      </c>
      <c r="R120" s="41">
        <v>315</v>
      </c>
      <c r="S120" s="46">
        <f>ТабПозиции[[#This Row],[totalSumm]]-ТабПозиции[[#This Row],[payment]]</f>
        <v>0</v>
      </c>
      <c r="T120" s="18" t="s">
        <v>580</v>
      </c>
      <c r="U120" s="40" t="s">
        <v>545</v>
      </c>
      <c r="V120" s="40" t="s">
        <v>545</v>
      </c>
      <c r="W120" s="40" t="s">
        <v>545</v>
      </c>
      <c r="X120"/>
      <c r="Y120"/>
    </row>
    <row r="121" spans="1:25" hidden="1" x14ac:dyDescent="0.25">
      <c r="A121" s="10">
        <v>40</v>
      </c>
      <c r="B121" s="1">
        <f>IFERROR(VLOOKUP(ТабПозиции[[#This Row],[orderNum]],ТабЗаказы[#Data],MATCH(B$7,ТабЗаказы[#Headers],0),0),"")</f>
        <v>45381</v>
      </c>
      <c r="C121" t="str">
        <f>MONTH(ТабПозиции[[#This Row],[date]])&amp;"/"&amp;YEAR(ТабПозиции[[#This Row],[date]])</f>
        <v>3/2024</v>
      </c>
      <c r="D121" s="1" t="str">
        <f>IFERROR(VLOOKUP(ТабПозиции[[#This Row],[orderNum]],ТабЗаказы[#Data],MATCH(D$7,ТабЗаказы[#Headers],0),0),"")</f>
        <v/>
      </c>
      <c r="E121" s="1" t="str">
        <f>IFERROR(VLOOKUP(ТабПозиции[[#This Row],[orderNum]],ТабЗаказы[#Data],MATCH(E$7,ТабЗаказы[#Headers],0),0),"")</f>
        <v/>
      </c>
      <c r="F121" s="16" t="s">
        <v>661</v>
      </c>
      <c r="G121" s="40" t="s">
        <v>545</v>
      </c>
      <c r="H121" s="17"/>
      <c r="I121" s="18">
        <v>45386</v>
      </c>
      <c r="J121" s="10">
        <v>1</v>
      </c>
      <c r="L121">
        <v>0</v>
      </c>
      <c r="M121" s="10">
        <v>1618</v>
      </c>
      <c r="N121">
        <f t="shared" si="1"/>
        <v>1618</v>
      </c>
      <c r="O121" s="10">
        <v>81</v>
      </c>
      <c r="P1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Row],[orderNum]],ТабПозиции[orderSumm])&gt;1500),ABS(N121*VLOOKUP(ТабПозиции[[#This Row],[orderNum]],ТабЗаказы[#Data],MATCH("Percent",ТабЗаказы[#Headers],0),0))/100,200/COUNTIF(ТабПозиции[orderNum],ТабПозиции[[#This Row],[orderNum]])),0),"")</f>
        <v>162</v>
      </c>
      <c r="Q121">
        <f>IF(OR(ТабПозиции[[#This Row],[item]]="По штрихкоду",ТабПозиции[[#This Row],[item]]="Посылка"),ТабПозиции[[#This Row],[deliverySumm]]+ТабПозиции[[#This Row],[deliveryPost]],SUM(N121:P121))</f>
        <v>1861</v>
      </c>
      <c r="R121" s="41">
        <v>1861</v>
      </c>
      <c r="S121" s="46">
        <f>ТабПозиции[[#This Row],[totalSumm]]-ТабПозиции[[#This Row],[payment]]</f>
        <v>0</v>
      </c>
      <c r="T121" s="18" t="s">
        <v>580</v>
      </c>
      <c r="U121" s="40" t="s">
        <v>545</v>
      </c>
      <c r="V121" s="40" t="s">
        <v>545</v>
      </c>
      <c r="W121" s="40" t="s">
        <v>545</v>
      </c>
      <c r="X121"/>
      <c r="Y121"/>
    </row>
    <row r="122" spans="1:25" hidden="1" x14ac:dyDescent="0.25">
      <c r="A122" s="10">
        <v>41</v>
      </c>
      <c r="B122" s="1">
        <f>IFERROR(VLOOKUP(ТабПозиции[[#This Row],[orderNum]],ТабЗаказы[#Data],MATCH(B$7,ТабЗаказы[#Headers],0),0),"")</f>
        <v>45381</v>
      </c>
      <c r="C122" t="str">
        <f>MONTH(ТабПозиции[[#This Row],[date]])&amp;"/"&amp;YEAR(ТабПозиции[[#This Row],[date]])</f>
        <v>3/2024</v>
      </c>
      <c r="D122" s="1" t="str">
        <f>IFERROR(VLOOKUP(ТабПозиции[[#This Row],[orderNum]],ТабЗаказы[#Data],MATCH(D$7,ТабЗаказы[#Headers],0),0),"")</f>
        <v/>
      </c>
      <c r="E122" s="1" t="str">
        <f>IFERROR(VLOOKUP(ТабПозиции[[#This Row],[orderNum]],ТабЗаказы[#Data],MATCH(E$7,ТабЗаказы[#Headers],0),0),"")</f>
        <v/>
      </c>
      <c r="F122" s="16" t="s">
        <v>662</v>
      </c>
      <c r="G122" s="40" t="s">
        <v>545</v>
      </c>
      <c r="H122" s="17"/>
      <c r="I122" s="18">
        <v>45390</v>
      </c>
      <c r="J122" s="10">
        <v>1</v>
      </c>
      <c r="L122">
        <v>0</v>
      </c>
      <c r="M122" s="10">
        <v>1191</v>
      </c>
      <c r="N122">
        <f t="shared" si="1"/>
        <v>1191</v>
      </c>
      <c r="P1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Row],[orderNum]],ТабПозиции[orderSumm])&gt;1500),ABS(N122*VLOOKUP(ТабПозиции[[#This Row],[orderNum]],ТабЗаказы[#Data],MATCH("Percent",ТабЗаказы[#Headers],0),0))/100,200/COUNTIF(ТабПозиции[orderNum],ТабПозиции[[#This Row],[orderNum]])),0),"")</f>
        <v>179</v>
      </c>
      <c r="Q122">
        <f>IF(OR(ТабПозиции[[#This Row],[item]]="По штрихкоду",ТабПозиции[[#This Row],[item]]="Посылка"),ТабПозиции[[#This Row],[deliverySumm]]+ТабПозиции[[#This Row],[deliveryPost]],SUM(N122:P122))</f>
        <v>1370</v>
      </c>
      <c r="R122" s="41">
        <v>1370</v>
      </c>
      <c r="S122" s="46">
        <f>ТабПозиции[[#This Row],[totalSumm]]-ТабПозиции[[#This Row],[payment]]</f>
        <v>0</v>
      </c>
      <c r="T122" s="18" t="s">
        <v>580</v>
      </c>
      <c r="U122" s="40" t="s">
        <v>545</v>
      </c>
      <c r="V122" s="40" t="s">
        <v>545</v>
      </c>
      <c r="W122" s="40" t="s">
        <v>545</v>
      </c>
      <c r="X122"/>
      <c r="Y122"/>
    </row>
    <row r="123" spans="1:25" hidden="1" x14ac:dyDescent="0.25">
      <c r="A123" s="10">
        <v>41</v>
      </c>
      <c r="B123" s="1">
        <f>IFERROR(VLOOKUP(ТабПозиции[[#This Row],[orderNum]],ТабЗаказы[#Data],MATCH(B$7,ТабЗаказы[#Headers],0),0),"")</f>
        <v>45381</v>
      </c>
      <c r="C123" t="str">
        <f>MONTH(ТабПозиции[[#This Row],[date]])&amp;"/"&amp;YEAR(ТабПозиции[[#This Row],[date]])</f>
        <v>3/2024</v>
      </c>
      <c r="D123" s="1" t="str">
        <f>IFERROR(VLOOKUP(ТабПозиции[[#This Row],[orderNum]],ТабЗаказы[#Data],MATCH(D$7,ТабЗаказы[#Headers],0),0),"")</f>
        <v/>
      </c>
      <c r="E123" s="1" t="str">
        <f>IFERROR(VLOOKUP(ТабПозиции[[#This Row],[orderNum]],ТабЗаказы[#Data],MATCH(E$7,ТабЗаказы[#Headers],0),0),"")</f>
        <v/>
      </c>
      <c r="F123" s="16" t="s">
        <v>663</v>
      </c>
      <c r="G123" s="40" t="s">
        <v>545</v>
      </c>
      <c r="H123" s="17"/>
      <c r="I123" s="18">
        <v>45390</v>
      </c>
      <c r="J123" s="10">
        <v>1</v>
      </c>
      <c r="L123">
        <v>0</v>
      </c>
      <c r="M123" s="10">
        <v>1267</v>
      </c>
      <c r="N123">
        <f t="shared" si="1"/>
        <v>1267</v>
      </c>
      <c r="P1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Row],[orderNum]],ТабПозиции[orderSumm])&gt;1500),ABS(N123*VLOOKUP(ТабПозиции[[#This Row],[orderNum]],ТабЗаказы[#Data],MATCH("Percent",ТабЗаказы[#Headers],0),0))/100,200/COUNTIF(ТабПозиции[orderNum],ТабПозиции[[#This Row],[orderNum]])),0),"")</f>
        <v>190</v>
      </c>
      <c r="Q123">
        <f>IF(OR(ТабПозиции[[#This Row],[item]]="По штрихкоду",ТабПозиции[[#This Row],[item]]="Посылка"),ТабПозиции[[#This Row],[deliverySumm]]+ТабПозиции[[#This Row],[deliveryPost]],SUM(N123:P123))</f>
        <v>1457</v>
      </c>
      <c r="R123" s="41">
        <v>1457</v>
      </c>
      <c r="S123" s="46">
        <f>ТабПозиции[[#This Row],[totalSumm]]-ТабПозиции[[#This Row],[payment]]</f>
        <v>0</v>
      </c>
      <c r="T123" s="18" t="s">
        <v>580</v>
      </c>
      <c r="U123" s="40" t="s">
        <v>545</v>
      </c>
      <c r="V123" s="40" t="s">
        <v>545</v>
      </c>
      <c r="W123" s="40" t="s">
        <v>545</v>
      </c>
      <c r="X123"/>
      <c r="Y123"/>
    </row>
    <row r="124" spans="1:25" hidden="1" x14ac:dyDescent="0.25">
      <c r="A124" s="10">
        <v>41</v>
      </c>
      <c r="B124" s="1">
        <f>IFERROR(VLOOKUP(ТабПозиции[[#This Row],[orderNum]],ТабЗаказы[#Data],MATCH(B$7,ТабЗаказы[#Headers],0),0),"")</f>
        <v>45381</v>
      </c>
      <c r="C124" t="str">
        <f>MONTH(ТабПозиции[[#This Row],[date]])&amp;"/"&amp;YEAR(ТабПозиции[[#This Row],[date]])</f>
        <v>3/2024</v>
      </c>
      <c r="D124" s="1" t="str">
        <f>IFERROR(VLOOKUP(ТабПозиции[[#This Row],[orderNum]],ТабЗаказы[#Data],MATCH(D$7,ТабЗаказы[#Headers],0),0),"")</f>
        <v/>
      </c>
      <c r="E124" s="1" t="str">
        <f>IFERROR(VLOOKUP(ТабПозиции[[#This Row],[orderNum]],ТабЗаказы[#Data],MATCH(E$7,ТабЗаказы[#Headers],0),0),"")</f>
        <v/>
      </c>
      <c r="F124" s="16" t="s">
        <v>664</v>
      </c>
      <c r="G124" s="40" t="s">
        <v>545</v>
      </c>
      <c r="H124" s="17"/>
      <c r="I124" s="18">
        <v>45383</v>
      </c>
      <c r="J124" s="10">
        <v>1</v>
      </c>
      <c r="L124">
        <v>0</v>
      </c>
      <c r="M124" s="10">
        <v>396</v>
      </c>
      <c r="N124">
        <f t="shared" si="1"/>
        <v>396</v>
      </c>
      <c r="P1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Row],[orderNum]],ТабПозиции[orderSumm])&gt;1500),ABS(N124*VLOOKUP(ТабПозиции[[#This Row],[orderNum]],ТабЗаказы[#Data],MATCH("Percent",ТабЗаказы[#Headers],0),0))/100,200/COUNTIF(ТабПозиции[orderNum],ТабПозиции[[#This Row],[orderNum]])),0),"")</f>
        <v>59</v>
      </c>
      <c r="Q124">
        <f>IF(OR(ТабПозиции[[#This Row],[item]]="По штрихкоду",ТабПозиции[[#This Row],[item]]="Посылка"),ТабПозиции[[#This Row],[deliverySumm]]+ТабПозиции[[#This Row],[deliveryPost]],SUM(N124:P124))</f>
        <v>455</v>
      </c>
      <c r="R124" s="41">
        <v>455</v>
      </c>
      <c r="S124" s="46">
        <f>ТабПозиции[[#This Row],[totalSumm]]-ТабПозиции[[#This Row],[payment]]</f>
        <v>0</v>
      </c>
      <c r="T124" s="18" t="s">
        <v>563</v>
      </c>
      <c r="U124" s="40" t="s">
        <v>545</v>
      </c>
      <c r="V124" s="40" t="s">
        <v>545</v>
      </c>
      <c r="W124" s="40" t="s">
        <v>545</v>
      </c>
      <c r="X124"/>
      <c r="Y124"/>
    </row>
    <row r="125" spans="1:25" hidden="1" x14ac:dyDescent="0.25">
      <c r="A125" s="10">
        <v>40</v>
      </c>
      <c r="B125" s="1">
        <f>IFERROR(VLOOKUP(ТабПозиции[[#This Row],[orderNum]],ТабЗаказы[#Data],MATCH(B$7,ТабЗаказы[#Headers],0),0),"")</f>
        <v>45381</v>
      </c>
      <c r="C125" t="str">
        <f>MONTH(ТабПозиции[[#This Row],[date]])&amp;"/"&amp;YEAR(ТабПозиции[[#This Row],[date]])</f>
        <v>3/2024</v>
      </c>
      <c r="D125" s="1" t="str">
        <f>IFERROR(VLOOKUP(ТабПозиции[[#This Row],[orderNum]],ТабЗаказы[#Data],MATCH(D$7,ТабЗаказы[#Headers],0),0),"")</f>
        <v/>
      </c>
      <c r="E125" s="1" t="str">
        <f>IFERROR(VLOOKUP(ТабПозиции[[#This Row],[orderNum]],ТабЗаказы[#Data],MATCH(E$7,ТабЗаказы[#Headers],0),0),"")</f>
        <v/>
      </c>
      <c r="F125" s="16" t="s">
        <v>665</v>
      </c>
      <c r="G125" s="40" t="s">
        <v>545</v>
      </c>
      <c r="H125" s="17"/>
      <c r="I125" s="18">
        <v>45383</v>
      </c>
      <c r="J125" s="10">
        <v>1</v>
      </c>
      <c r="L125">
        <v>0</v>
      </c>
      <c r="M125" s="10">
        <v>291</v>
      </c>
      <c r="N125">
        <f t="shared" si="1"/>
        <v>291</v>
      </c>
      <c r="O125" s="10">
        <v>15</v>
      </c>
      <c r="P1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Row],[orderNum]],ТабПозиции[orderSumm])&gt;1500),ABS(N125*VLOOKUP(ТабПозиции[[#This Row],[orderNum]],ТабЗаказы[#Data],MATCH("Percent",ТабЗаказы[#Headers],0),0))/100,200/COUNTIF(ТабПозиции[orderNum],ТабПозиции[[#This Row],[orderNum]])),0),"")</f>
        <v>29</v>
      </c>
      <c r="Q125">
        <f>IF(OR(ТабПозиции[[#This Row],[item]]="По штрихкоду",ТабПозиции[[#This Row],[item]]="Посылка"),ТабПозиции[[#This Row],[deliverySumm]]+ТабПозиции[[#This Row],[deliveryPost]],SUM(N125:P125))</f>
        <v>335</v>
      </c>
      <c r="R125" s="41">
        <v>335</v>
      </c>
      <c r="S125" s="46">
        <f>ТабПозиции[[#This Row],[totalSumm]]-ТабПозиции[[#This Row],[payment]]</f>
        <v>0</v>
      </c>
      <c r="T125" s="18" t="s">
        <v>563</v>
      </c>
      <c r="U125" s="40" t="s">
        <v>545</v>
      </c>
      <c r="V125" s="40" t="s">
        <v>545</v>
      </c>
      <c r="W125" s="40" t="s">
        <v>545</v>
      </c>
      <c r="X125"/>
      <c r="Y125"/>
    </row>
    <row r="126" spans="1:25" hidden="1" x14ac:dyDescent="0.25">
      <c r="A126" s="10">
        <v>40</v>
      </c>
      <c r="B126" s="1">
        <f>IFERROR(VLOOKUP(ТабПозиции[[#This Row],[orderNum]],ТабЗаказы[#Data],MATCH(B$7,ТабЗаказы[#Headers],0),0),"")</f>
        <v>45381</v>
      </c>
      <c r="C126" t="str">
        <f>MONTH(ТабПозиции[[#This Row],[date]])&amp;"/"&amp;YEAR(ТабПозиции[[#This Row],[date]])</f>
        <v>3/2024</v>
      </c>
      <c r="D126" s="1" t="str">
        <f>IFERROR(VLOOKUP(ТабПозиции[[#This Row],[orderNum]],ТабЗаказы[#Data],MATCH(D$7,ТабЗаказы[#Headers],0),0),"")</f>
        <v/>
      </c>
      <c r="E126" s="1" t="str">
        <f>IFERROR(VLOOKUP(ТабПозиции[[#This Row],[orderNum]],ТабЗаказы[#Data],MATCH(E$7,ТабЗаказы[#Headers],0),0),"")</f>
        <v/>
      </c>
      <c r="F126" s="16" t="s">
        <v>666</v>
      </c>
      <c r="G126" s="40" t="s">
        <v>545</v>
      </c>
      <c r="H126" s="17"/>
      <c r="I126" s="18">
        <v>45385</v>
      </c>
      <c r="J126" s="10">
        <v>1</v>
      </c>
      <c r="L126">
        <v>0</v>
      </c>
      <c r="M126" s="10">
        <v>551</v>
      </c>
      <c r="N126">
        <f t="shared" si="1"/>
        <v>551</v>
      </c>
      <c r="O126" s="10">
        <v>28</v>
      </c>
      <c r="P1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Row],[orderNum]],ТабПозиции[orderSumm])&gt;1500),ABS(N126*VLOOKUP(ТабПозиции[[#This Row],[orderNum]],ТабЗаказы[#Data],MATCH("Percent",ТабЗаказы[#Headers],0),0))/100,200/COUNTIF(ТабПозиции[orderNum],ТабПозиции[[#This Row],[orderNum]])),0),"")</f>
        <v>55</v>
      </c>
      <c r="Q126">
        <f>IF(OR(ТабПозиции[[#This Row],[item]]="По штрихкоду",ТабПозиции[[#This Row],[item]]="Посылка"),ТабПозиции[[#This Row],[deliverySumm]]+ТабПозиции[[#This Row],[deliveryPost]],SUM(N126:P126))</f>
        <v>634</v>
      </c>
      <c r="R126" s="41">
        <v>634</v>
      </c>
      <c r="S126" s="46">
        <f>ТабПозиции[[#This Row],[totalSumm]]-ТабПозиции[[#This Row],[payment]]</f>
        <v>0</v>
      </c>
      <c r="T126" s="18" t="s">
        <v>563</v>
      </c>
      <c r="U126" s="40" t="s">
        <v>545</v>
      </c>
      <c r="V126" s="40" t="s">
        <v>545</v>
      </c>
      <c r="W126" s="40" t="s">
        <v>545</v>
      </c>
      <c r="X126"/>
      <c r="Y126"/>
    </row>
    <row r="127" spans="1:25" hidden="1" x14ac:dyDescent="0.25">
      <c r="A127" s="10">
        <v>40</v>
      </c>
      <c r="B127" s="1">
        <f>IFERROR(VLOOKUP(ТабПозиции[[#This Row],[orderNum]],ТабЗаказы[#Data],MATCH(B$7,ТабЗаказы[#Headers],0),0),"")</f>
        <v>45381</v>
      </c>
      <c r="C127" t="str">
        <f>MONTH(ТабПозиции[[#This Row],[date]])&amp;"/"&amp;YEAR(ТабПозиции[[#This Row],[date]])</f>
        <v>3/2024</v>
      </c>
      <c r="D127" s="1" t="str">
        <f>IFERROR(VLOOKUP(ТабПозиции[[#This Row],[orderNum]],ТабЗаказы[#Data],MATCH(D$7,ТабЗаказы[#Headers],0),0),"")</f>
        <v/>
      </c>
      <c r="E127" s="1" t="str">
        <f>IFERROR(VLOOKUP(ТабПозиции[[#This Row],[orderNum]],ТабЗаказы[#Data],MATCH(E$7,ТабЗаказы[#Headers],0),0),"")</f>
        <v/>
      </c>
      <c r="F127" s="16" t="s">
        <v>667</v>
      </c>
      <c r="G127" s="40" t="s">
        <v>545</v>
      </c>
      <c r="H127" s="17"/>
      <c r="I127" s="18">
        <v>45391</v>
      </c>
      <c r="J127" s="10">
        <v>1</v>
      </c>
      <c r="L127">
        <v>0</v>
      </c>
      <c r="M127" s="10">
        <v>516</v>
      </c>
      <c r="N127">
        <f t="shared" si="1"/>
        <v>516</v>
      </c>
      <c r="O127" s="10">
        <v>25</v>
      </c>
      <c r="P1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Row],[orderNum]],ТабПозиции[orderSumm])&gt;1500),ABS(N127*VLOOKUP(ТабПозиции[[#This Row],[orderNum]],ТабЗаказы[#Data],MATCH("Percent",ТабЗаказы[#Headers],0),0))/100,200/COUNTIF(ТабПозиции[orderNum],ТабПозиции[[#This Row],[orderNum]])),0),"")</f>
        <v>52</v>
      </c>
      <c r="Q127">
        <f>IF(OR(ТабПозиции[[#This Row],[item]]="По штрихкоду",ТабПозиции[[#This Row],[item]]="Посылка"),ТабПозиции[[#This Row],[deliverySumm]]+ТабПозиции[[#This Row],[deliveryPost]],SUM(N127:P127))</f>
        <v>593</v>
      </c>
      <c r="R127" s="41">
        <v>593</v>
      </c>
      <c r="S127" s="46">
        <f>ТабПозиции[[#This Row],[totalSumm]]-ТабПозиции[[#This Row],[payment]]</f>
        <v>0</v>
      </c>
      <c r="T127" s="18" t="s">
        <v>615</v>
      </c>
      <c r="U127" s="40" t="s">
        <v>545</v>
      </c>
      <c r="V127" s="40" t="s">
        <v>545</v>
      </c>
      <c r="W127" s="40" t="s">
        <v>545</v>
      </c>
      <c r="X127"/>
      <c r="Y127"/>
    </row>
    <row r="128" spans="1:25" hidden="1" x14ac:dyDescent="0.25">
      <c r="A128" s="10">
        <v>42</v>
      </c>
      <c r="B128" s="1">
        <f>IFERROR(VLOOKUP(ТабПозиции[[#This Row],[orderNum]],ТабЗаказы[#Data],MATCH(B$7,ТабЗаказы[#Headers],0),0),"")</f>
        <v>45381</v>
      </c>
      <c r="C128" t="str">
        <f>MONTH(ТабПозиции[[#This Row],[date]])&amp;"/"&amp;YEAR(ТабПозиции[[#This Row],[date]])</f>
        <v>3/2024</v>
      </c>
      <c r="D128" s="1" t="str">
        <f>IFERROR(VLOOKUP(ТабПозиции[[#This Row],[orderNum]],ТабЗаказы[#Data],MATCH(D$7,ТабЗаказы[#Headers],0),0),"")</f>
        <v/>
      </c>
      <c r="E128" s="1" t="str">
        <f>IFERROR(VLOOKUP(ТабПозиции[[#This Row],[orderNum]],ТабЗаказы[#Data],MATCH(E$7,ТабЗаказы[#Headers],0),0),"")</f>
        <v/>
      </c>
      <c r="F128" s="16" t="s">
        <v>668</v>
      </c>
      <c r="G128" s="40" t="s">
        <v>545</v>
      </c>
      <c r="H128" s="17"/>
      <c r="I128" s="18">
        <v>45383</v>
      </c>
      <c r="J128" s="10">
        <v>1</v>
      </c>
      <c r="L128">
        <v>0</v>
      </c>
      <c r="M128" s="10">
        <v>290</v>
      </c>
      <c r="N128">
        <f t="shared" si="1"/>
        <v>290</v>
      </c>
      <c r="P1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Row],[orderNum]],ТабПозиции[orderSumm])&gt;1500),ABS(N128*VLOOKUP(ТабПозиции[[#This Row],[orderNum]],ТабЗаказы[#Data],MATCH("Percent",ТабЗаказы[#Headers],0),0))/100,200/COUNTIF(ТабПозиции[orderNum],ТабПозиции[[#This Row],[orderNum]])),0),"")</f>
        <v>29</v>
      </c>
      <c r="Q128">
        <f>IF(OR(ТабПозиции[[#This Row],[item]]="По штрихкоду",ТабПозиции[[#This Row],[item]]="Посылка"),ТабПозиции[[#This Row],[deliverySumm]]+ТабПозиции[[#This Row],[deliveryPost]],SUM(N128:P128))</f>
        <v>319</v>
      </c>
      <c r="R128" s="41">
        <v>319</v>
      </c>
      <c r="S128" s="46">
        <f>ТабПозиции[[#This Row],[totalSumm]]-ТабПозиции[[#This Row],[payment]]</f>
        <v>0</v>
      </c>
      <c r="T128" s="18" t="s">
        <v>563</v>
      </c>
      <c r="U128" s="40" t="s">
        <v>545</v>
      </c>
      <c r="V128" s="40" t="s">
        <v>545</v>
      </c>
      <c r="W128" s="40" t="s">
        <v>545</v>
      </c>
      <c r="X128"/>
      <c r="Y128"/>
    </row>
    <row r="129" spans="1:25" hidden="1" x14ac:dyDescent="0.25">
      <c r="A129" s="10">
        <v>42</v>
      </c>
      <c r="B129" s="1">
        <f>IFERROR(VLOOKUP(ТабПозиции[[#This Row],[orderNum]],ТабЗаказы[#Data],MATCH(B$7,ТабЗаказы[#Headers],0),0),"")</f>
        <v>45381</v>
      </c>
      <c r="C129" t="str">
        <f>MONTH(ТабПозиции[[#This Row],[date]])&amp;"/"&amp;YEAR(ТабПозиции[[#This Row],[date]])</f>
        <v>3/2024</v>
      </c>
      <c r="D129" s="1" t="str">
        <f>IFERROR(VLOOKUP(ТабПозиции[[#This Row],[orderNum]],ТабЗаказы[#Data],MATCH(D$7,ТабЗаказы[#Headers],0),0),"")</f>
        <v/>
      </c>
      <c r="E129" s="1" t="str">
        <f>IFERROR(VLOOKUP(ТабПозиции[[#This Row],[orderNum]],ТабЗаказы[#Data],MATCH(E$7,ТабЗаказы[#Headers],0),0),"")</f>
        <v/>
      </c>
      <c r="F129" s="16" t="s">
        <v>669</v>
      </c>
      <c r="G129" s="40" t="s">
        <v>545</v>
      </c>
      <c r="H129" s="17"/>
      <c r="I129" s="18">
        <v>45383</v>
      </c>
      <c r="J129" s="10">
        <v>1</v>
      </c>
      <c r="L129">
        <v>0</v>
      </c>
      <c r="M129" s="10">
        <v>270</v>
      </c>
      <c r="N129">
        <f t="shared" si="1"/>
        <v>270</v>
      </c>
      <c r="P1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29">
        <f>IF(OR(ТабПозиции[[#This Row],[item]]="По штрихкоду",ТабПозиции[[#This Row],[item]]="Посылка"),ТабПозиции[[#This Row],[deliverySumm]]+ТабПозиции[[#This Row],[deliveryPost]],SUM(N129:P129))</f>
        <v>297</v>
      </c>
      <c r="R129" s="41">
        <v>297</v>
      </c>
      <c r="S129" s="46">
        <f>ТабПозиции[[#This Row],[totalSumm]]-ТабПозиции[[#This Row],[payment]]</f>
        <v>0</v>
      </c>
      <c r="T129" s="18" t="s">
        <v>563</v>
      </c>
      <c r="U129" s="40" t="s">
        <v>545</v>
      </c>
      <c r="V129" s="40" t="s">
        <v>545</v>
      </c>
      <c r="W129" s="40" t="s">
        <v>545</v>
      </c>
      <c r="X129"/>
      <c r="Y129"/>
    </row>
    <row r="130" spans="1:25" hidden="1" x14ac:dyDescent="0.25">
      <c r="A130" s="10">
        <v>42</v>
      </c>
      <c r="B130" s="1">
        <f>IFERROR(VLOOKUP(ТабПозиции[[#This Row],[orderNum]],ТабЗаказы[#Data],MATCH(B$7,ТабЗаказы[#Headers],0),0),"")</f>
        <v>45381</v>
      </c>
      <c r="C130" t="str">
        <f>MONTH(ТабПозиции[[#This Row],[date]])&amp;"/"&amp;YEAR(ТабПозиции[[#This Row],[date]])</f>
        <v>3/2024</v>
      </c>
      <c r="D130" s="1" t="str">
        <f>IFERROR(VLOOKUP(ТабПозиции[[#This Row],[orderNum]],ТабЗаказы[#Data],MATCH(D$7,ТабЗаказы[#Headers],0),0),"")</f>
        <v/>
      </c>
      <c r="E130" s="1" t="str">
        <f>IFERROR(VLOOKUP(ТабПозиции[[#This Row],[orderNum]],ТабЗаказы[#Data],MATCH(E$7,ТабЗаказы[#Headers],0),0),"")</f>
        <v/>
      </c>
      <c r="F130" s="16" t="s">
        <v>670</v>
      </c>
      <c r="G130" s="40" t="s">
        <v>545</v>
      </c>
      <c r="H130" s="17"/>
      <c r="I130" s="18">
        <v>45383</v>
      </c>
      <c r="J130" s="10">
        <v>1</v>
      </c>
      <c r="L130">
        <v>0</v>
      </c>
      <c r="M130" s="10">
        <v>453</v>
      </c>
      <c r="N130">
        <f t="shared" si="1"/>
        <v>453</v>
      </c>
      <c r="P1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30">
        <f>IF(OR(ТабПозиции[[#This Row],[item]]="По штрихкоду",ТабПозиции[[#This Row],[item]]="Посылка"),ТабПозиции[[#This Row],[deliverySumm]]+ТабПозиции[[#This Row],[deliveryPost]],SUM(N130:P130))</f>
        <v>498</v>
      </c>
      <c r="R130" s="41">
        <v>498</v>
      </c>
      <c r="S130" s="46">
        <f>ТабПозиции[[#This Row],[totalSumm]]-ТабПозиции[[#This Row],[payment]]</f>
        <v>0</v>
      </c>
      <c r="T130" s="18" t="s">
        <v>563</v>
      </c>
      <c r="U130" s="40" t="s">
        <v>545</v>
      </c>
      <c r="V130" s="40" t="s">
        <v>545</v>
      </c>
      <c r="W130" s="40" t="s">
        <v>545</v>
      </c>
      <c r="X130"/>
      <c r="Y130"/>
    </row>
    <row r="131" spans="1:25" hidden="1" x14ac:dyDescent="0.25">
      <c r="A131" s="10">
        <v>42</v>
      </c>
      <c r="B131" s="1">
        <f>IFERROR(VLOOKUP(ТабПозиции[[#This Row],[orderNum]],ТабЗаказы[#Data],MATCH(B$7,ТабЗаказы[#Headers],0),0),"")</f>
        <v>45381</v>
      </c>
      <c r="C131" t="str">
        <f>MONTH(ТабПозиции[[#This Row],[date]])&amp;"/"&amp;YEAR(ТабПозиции[[#This Row],[date]])</f>
        <v>3/2024</v>
      </c>
      <c r="D131" s="1" t="str">
        <f>IFERROR(VLOOKUP(ТабПозиции[[#This Row],[orderNum]],ТабЗаказы[#Data],MATCH(D$7,ТабЗаказы[#Headers],0),0),"")</f>
        <v/>
      </c>
      <c r="E131" s="1" t="str">
        <f>IFERROR(VLOOKUP(ТабПозиции[[#This Row],[orderNum]],ТабЗаказы[#Data],MATCH(E$7,ТабЗаказы[#Headers],0),0),"")</f>
        <v/>
      </c>
      <c r="F131" s="16" t="s">
        <v>671</v>
      </c>
      <c r="G131" s="40" t="s">
        <v>545</v>
      </c>
      <c r="H131" s="17"/>
      <c r="I131" s="18">
        <v>45383</v>
      </c>
      <c r="J131" s="10">
        <v>1</v>
      </c>
      <c r="L131">
        <v>0</v>
      </c>
      <c r="M131" s="10">
        <v>662</v>
      </c>
      <c r="N131">
        <f t="shared" si="1"/>
        <v>662</v>
      </c>
      <c r="P1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31">
        <f>IF(OR(ТабПозиции[[#This Row],[item]]="По штрихкоду",ТабПозиции[[#This Row],[item]]="Посылка"),ТабПозиции[[#This Row],[deliverySumm]]+ТабПозиции[[#This Row],[deliveryPost]],SUM(N131:P131))</f>
        <v>728</v>
      </c>
      <c r="R131" s="41">
        <v>728</v>
      </c>
      <c r="S131" s="46">
        <f>ТабПозиции[[#This Row],[totalSumm]]-ТабПозиции[[#This Row],[payment]]</f>
        <v>0</v>
      </c>
      <c r="T131" s="18" t="s">
        <v>563</v>
      </c>
      <c r="U131" s="40" t="s">
        <v>545</v>
      </c>
      <c r="V131" s="40" t="s">
        <v>545</v>
      </c>
      <c r="W131" s="40" t="s">
        <v>545</v>
      </c>
      <c r="X131"/>
      <c r="Y131"/>
    </row>
    <row r="132" spans="1:25" hidden="1" x14ac:dyDescent="0.25">
      <c r="A132" s="10">
        <v>42</v>
      </c>
      <c r="B132" s="1">
        <f>IFERROR(VLOOKUP(ТабПозиции[[#This Row],[orderNum]],ТабЗаказы[#Data],MATCH(B$7,ТабЗаказы[#Headers],0),0),"")</f>
        <v>45381</v>
      </c>
      <c r="C132" t="str">
        <f>MONTH(ТабПозиции[[#This Row],[date]])&amp;"/"&amp;YEAR(ТабПозиции[[#This Row],[date]])</f>
        <v>3/2024</v>
      </c>
      <c r="D132" s="1" t="str">
        <f>IFERROR(VLOOKUP(ТабПозиции[[#This Row],[orderNum]],ТабЗаказы[#Data],MATCH(D$7,ТабЗаказы[#Headers],0),0),"")</f>
        <v/>
      </c>
      <c r="E132" s="1" t="str">
        <f>IFERROR(VLOOKUP(ТабПозиции[[#This Row],[orderNum]],ТабЗаказы[#Data],MATCH(E$7,ТабЗаказы[#Headers],0),0),"")</f>
        <v/>
      </c>
      <c r="F132" s="16" t="s">
        <v>672</v>
      </c>
      <c r="G132" s="40" t="s">
        <v>545</v>
      </c>
      <c r="H132" s="17"/>
      <c r="I132" s="18">
        <v>45383</v>
      </c>
      <c r="J132" s="10">
        <v>1</v>
      </c>
      <c r="L132">
        <v>0</v>
      </c>
      <c r="M132" s="10">
        <v>829</v>
      </c>
      <c r="N132">
        <f t="shared" si="1"/>
        <v>829</v>
      </c>
      <c r="P1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Row],[orderNum]],ТабПозиции[orderSumm])&gt;1500),ABS(N132*VLOOKUP(ТабПозиции[[#This Row],[orderNum]],ТабЗаказы[#Data],MATCH("Percent",ТабЗаказы[#Headers],0),0))/100,200/COUNTIF(ТабПозиции[orderNum],ТабПозиции[[#This Row],[orderNum]])),0),"")</f>
        <v>83</v>
      </c>
      <c r="Q132">
        <f>IF(OR(ТабПозиции[[#This Row],[item]]="По штрихкоду",ТабПозиции[[#This Row],[item]]="Посылка"),ТабПозиции[[#This Row],[deliverySumm]]+ТабПозиции[[#This Row],[deliveryPost]],SUM(N132:P132))</f>
        <v>912</v>
      </c>
      <c r="R132" s="41">
        <v>912</v>
      </c>
      <c r="S132" s="46">
        <f>ТабПозиции[[#This Row],[totalSumm]]-ТабПозиции[[#This Row],[payment]]</f>
        <v>0</v>
      </c>
      <c r="T132" s="18" t="s">
        <v>563</v>
      </c>
      <c r="U132" s="40" t="s">
        <v>545</v>
      </c>
      <c r="V132" s="40" t="s">
        <v>545</v>
      </c>
      <c r="W132" s="40" t="s">
        <v>545</v>
      </c>
      <c r="X132"/>
      <c r="Y132"/>
    </row>
    <row r="133" spans="1:25" hidden="1" x14ac:dyDescent="0.25">
      <c r="A133" s="10">
        <v>34</v>
      </c>
      <c r="B133" s="1">
        <f>IFERROR(VLOOKUP(ТабПозиции[[#This Row],[orderNum]],ТабЗаказы[#Data],MATCH(B$7,ТабЗаказы[#Headers],0),0),"")</f>
        <v>45382</v>
      </c>
      <c r="C133" t="str">
        <f>MONTH(ТабПозиции[[#This Row],[date]])&amp;"/"&amp;YEAR(ТабПозиции[[#This Row],[date]])</f>
        <v>3/2024</v>
      </c>
      <c r="D133" s="1" t="str">
        <f>IFERROR(VLOOKUP(ТабПозиции[[#This Row],[orderNum]],ТабЗаказы[#Data],MATCH(D$7,ТабЗаказы[#Headers],0),0),"")</f>
        <v/>
      </c>
      <c r="E133" s="1" t="str">
        <f>IFERROR(VLOOKUP(ТабПозиции[[#This Row],[orderNum]],ТабЗаказы[#Data],MATCH(E$7,ТабЗаказы[#Headers],0),0),"")</f>
        <v/>
      </c>
      <c r="F133" s="16" t="s">
        <v>611</v>
      </c>
      <c r="G133" s="40" t="s">
        <v>545</v>
      </c>
      <c r="I133" s="18">
        <v>45384</v>
      </c>
      <c r="J133" s="10">
        <v>1</v>
      </c>
      <c r="L133">
        <v>0</v>
      </c>
      <c r="M133" s="10">
        <v>3397</v>
      </c>
      <c r="N133">
        <f t="shared" si="1"/>
        <v>3397</v>
      </c>
      <c r="P1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Row],[orderNum]],ТабПозиции[orderSumm])&gt;1500),ABS(N133*VLOOKUP(ТабПозиции[[#This Row],[orderNum]],ТабЗаказы[#Data],MATCH("Percent",ТабЗаказы[#Headers],0),0))/100,200/COUNTIF(ТабПозиции[orderNum],ТабПозиции[[#This Row],[orderNum]])),0),"")</f>
        <v>510</v>
      </c>
      <c r="Q133">
        <f>IF(OR(ТабПозиции[[#This Row],[item]]="По штрихкоду",ТабПозиции[[#This Row],[item]]="Посылка"),ТабПозиции[[#This Row],[deliverySumm]]+ТабПозиции[[#This Row],[deliveryPost]],SUM(N133:P133))</f>
        <v>3907</v>
      </c>
      <c r="R133" s="41">
        <v>3907</v>
      </c>
      <c r="S133" s="46">
        <f>ТабПозиции[[#This Row],[totalSumm]]-ТабПозиции[[#This Row],[payment]]</f>
        <v>0</v>
      </c>
      <c r="T133" s="18" t="s">
        <v>563</v>
      </c>
      <c r="U133" s="40" t="s">
        <v>545</v>
      </c>
      <c r="V133" s="40" t="s">
        <v>545</v>
      </c>
      <c r="W133" s="40" t="s">
        <v>545</v>
      </c>
      <c r="X133"/>
      <c r="Y133"/>
    </row>
    <row r="134" spans="1:25" hidden="1" x14ac:dyDescent="0.25">
      <c r="A134" s="10">
        <v>24</v>
      </c>
      <c r="B134" s="1">
        <f>IFERROR(VLOOKUP(ТабПозиции[[#This Row],[orderNum]],ТабЗаказы[#Data],MATCH(B$7,ТабЗаказы[#Headers],0),0),"")</f>
        <v>45376</v>
      </c>
      <c r="C134" t="str">
        <f>MONTH(ТабПозиции[[#This Row],[date]])&amp;"/"&amp;YEAR(ТабПозиции[[#This Row],[date]])</f>
        <v>3/2024</v>
      </c>
      <c r="D134" s="1" t="str">
        <f>IFERROR(VLOOKUP(ТабПозиции[[#This Row],[orderNum]],ТабЗаказы[#Data],MATCH(D$7,ТабЗаказы[#Headers],0),0),"")</f>
        <v/>
      </c>
      <c r="E134" s="1" t="str">
        <f>IFERROR(VLOOKUP(ТабПозиции[[#This Row],[orderNum]],ТабЗаказы[#Data],MATCH(E$7,ТабЗаказы[#Headers],0),0),"")</f>
        <v/>
      </c>
      <c r="F134" s="16" t="s">
        <v>673</v>
      </c>
      <c r="G134" s="40" t="s">
        <v>545</v>
      </c>
      <c r="I134" s="18">
        <v>45385</v>
      </c>
      <c r="J134" s="10">
        <v>1</v>
      </c>
      <c r="L134">
        <v>0</v>
      </c>
      <c r="M134" s="10">
        <v>1106</v>
      </c>
      <c r="N134">
        <f t="shared" si="1"/>
        <v>1106</v>
      </c>
      <c r="P1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Row],[orderNum]],ТабПозиции[orderSumm])&gt;1500),ABS(N134*VLOOKUP(ТабПозиции[[#This Row],[orderNum]],ТабЗаказы[#Data],MATCH("Percent",ТабЗаказы[#Headers],0),0))/100,200/COUNTIF(ТабПозиции[orderNum],ТабПозиции[[#This Row],[orderNum]])),0),"")</f>
        <v>166</v>
      </c>
      <c r="Q134">
        <f>IF(OR(ТабПозиции[[#This Row],[item]]="По штрихкоду",ТабПозиции[[#This Row],[item]]="Посылка"),ТабПозиции[[#This Row],[deliverySumm]]+ТабПозиции[[#This Row],[deliveryPost]],SUM(N134:P134))</f>
        <v>1272</v>
      </c>
      <c r="R134" s="41">
        <v>1272</v>
      </c>
      <c r="S134" s="46">
        <f>ТабПозиции[[#This Row],[totalSumm]]-ТабПозиции[[#This Row],[payment]]</f>
        <v>0</v>
      </c>
      <c r="T134" s="18" t="s">
        <v>563</v>
      </c>
      <c r="U134" s="40" t="s">
        <v>545</v>
      </c>
      <c r="V134" s="40" t="s">
        <v>545</v>
      </c>
      <c r="W134" s="40" t="s">
        <v>545</v>
      </c>
      <c r="X134"/>
      <c r="Y134"/>
    </row>
    <row r="135" spans="1:25" hidden="1" x14ac:dyDescent="0.25">
      <c r="A135" s="10">
        <v>31</v>
      </c>
      <c r="B135" s="1">
        <f>IFERROR(VLOOKUP(ТабПозиции[[#This Row],[orderNum]],ТабЗаказы[#Data],MATCH(B$7,ТабЗаказы[#Headers],0),0),"")</f>
        <v>45378</v>
      </c>
      <c r="C135" t="str">
        <f>MONTH(ТабПозиции[[#This Row],[date]])&amp;"/"&amp;YEAR(ТабПозиции[[#This Row],[date]])</f>
        <v>3/2024</v>
      </c>
      <c r="D135" s="1" t="str">
        <f>IFERROR(VLOOKUP(ТабПозиции[[#This Row],[orderNum]],ТабЗаказы[#Data],MATCH(D$7,ТабЗаказы[#Headers],0),0),"")</f>
        <v/>
      </c>
      <c r="E135" s="1" t="str">
        <f>IFERROR(VLOOKUP(ТабПозиции[[#This Row],[orderNum]],ТабЗаказы[#Data],MATCH(E$7,ТабЗаказы[#Headers],0),0),"")</f>
        <v/>
      </c>
      <c r="F135" s="10" t="s">
        <v>32</v>
      </c>
      <c r="G135" s="40" t="s">
        <v>545</v>
      </c>
      <c r="I135" s="18">
        <v>45387</v>
      </c>
      <c r="J135" s="10">
        <v>1</v>
      </c>
      <c r="K135" s="10">
        <v>0</v>
      </c>
      <c r="L135">
        <v>0</v>
      </c>
      <c r="M135" s="10">
        <v>1333</v>
      </c>
      <c r="N135">
        <f t="shared" si="1"/>
        <v>1333</v>
      </c>
      <c r="P1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35">
        <f>IF(OR(ТабПозиции[[#This Row],[item]]="По штрихкоду",ТабПозиции[[#This Row],[item]]="Посылка"),ТабПозиции[[#This Row],[deliverySumm]]+ТабПозиции[[#This Row],[deliveryPost]],SUM(N135:P135))</f>
        <v>200</v>
      </c>
      <c r="R135" s="41">
        <v>200</v>
      </c>
      <c r="S135" s="46">
        <f>ТабПозиции[[#This Row],[totalSumm]]-ТабПозиции[[#This Row],[payment]]</f>
        <v>0</v>
      </c>
      <c r="T135" s="18" t="s">
        <v>613</v>
      </c>
      <c r="U135" s="40" t="s">
        <v>545</v>
      </c>
      <c r="V135" s="40" t="s">
        <v>545</v>
      </c>
      <c r="W135" s="40" t="s">
        <v>545</v>
      </c>
      <c r="X135"/>
      <c r="Y135"/>
    </row>
    <row r="136" spans="1:25" hidden="1" x14ac:dyDescent="0.25">
      <c r="A136" s="10">
        <v>44</v>
      </c>
      <c r="B136" s="1">
        <f>IFERROR(VLOOKUP(ТабПозиции[[#This Row],[orderNum]],ТабЗаказы[#Data],MATCH(B$7,ТабЗаказы[#Headers],0),0),"")</f>
        <v>45387</v>
      </c>
      <c r="C136" t="str">
        <f>MONTH(ТабПозиции[[#This Row],[date]])&amp;"/"&amp;YEAR(ТабПозиции[[#This Row],[date]])</f>
        <v>4/2024</v>
      </c>
      <c r="D136" s="1" t="str">
        <f>IFERROR(VLOOKUP(ТабПозиции[[#This Row],[orderNum]],ТабЗаказы[#Data],MATCH(D$7,ТабЗаказы[#Headers],0),0),"")</f>
        <v/>
      </c>
      <c r="E136" s="1" t="str">
        <f>IFERROR(VLOOKUP(ТабПозиции[[#This Row],[orderNum]],ТабЗаказы[#Data],MATCH(E$7,ТабЗаказы[#Headers],0),0),"")</f>
        <v/>
      </c>
      <c r="F136" s="10" t="s">
        <v>32</v>
      </c>
      <c r="G136" s="40" t="s">
        <v>545</v>
      </c>
      <c r="I136" s="18">
        <v>45387</v>
      </c>
      <c r="J136" s="10">
        <v>0</v>
      </c>
      <c r="K136" s="10">
        <v>0</v>
      </c>
      <c r="L136">
        <v>0</v>
      </c>
      <c r="M136" s="10">
        <v>0</v>
      </c>
      <c r="N136">
        <f t="shared" si="1"/>
        <v>0</v>
      </c>
      <c r="P1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36">
        <f>IF(OR(ТабПозиции[[#This Row],[item]]="По штрихкоду",ТабПозиции[[#This Row],[item]]="Посылка"),ТабПозиции[[#This Row],[deliverySumm]]+ТабПозиции[[#This Row],[deliveryPost]],SUM(N136:P136))</f>
        <v>200</v>
      </c>
      <c r="R136" s="41">
        <v>200</v>
      </c>
      <c r="S136" s="46">
        <f>ТабПозиции[[#This Row],[totalSumm]]-ТабПозиции[[#This Row],[payment]]</f>
        <v>0</v>
      </c>
      <c r="T136" s="18" t="s">
        <v>544</v>
      </c>
      <c r="U136" s="40" t="s">
        <v>545</v>
      </c>
      <c r="V136" s="40" t="s">
        <v>545</v>
      </c>
      <c r="W136" s="40" t="s">
        <v>545</v>
      </c>
      <c r="X136"/>
      <c r="Y136"/>
    </row>
    <row r="137" spans="1:25" hidden="1" x14ac:dyDescent="0.25">
      <c r="A137" s="10">
        <v>45</v>
      </c>
      <c r="B137" s="1">
        <f>IFERROR(VLOOKUP(ТабПозиции[[#This Row],[orderNum]],ТабЗаказы[#Data],MATCH(B$7,ТабЗаказы[#Headers],0),0),"")</f>
        <v>45387</v>
      </c>
      <c r="C137" t="str">
        <f>MONTH(ТабПозиции[[#This Row],[date]])&amp;"/"&amp;YEAR(ТабПозиции[[#This Row],[date]])</f>
        <v>4/2024</v>
      </c>
      <c r="D137" s="1" t="str">
        <f>IFERROR(VLOOKUP(ТабПозиции[[#This Row],[orderNum]],ТабЗаказы[#Data],MATCH(D$7,ТабЗаказы[#Headers],0),0),"")</f>
        <v/>
      </c>
      <c r="E137" s="1" t="str">
        <f>IFERROR(VLOOKUP(ТабПозиции[[#This Row],[orderNum]],ТабЗаказы[#Data],MATCH(E$7,ТабЗаказы[#Headers],0),0),"")</f>
        <v/>
      </c>
      <c r="F137" s="10" t="s">
        <v>32</v>
      </c>
      <c r="G137" s="40" t="s">
        <v>545</v>
      </c>
      <c r="H137" s="12" t="s">
        <v>674</v>
      </c>
      <c r="I137" s="18">
        <v>45387</v>
      </c>
      <c r="J137" s="10">
        <v>1</v>
      </c>
      <c r="K137" s="10">
        <v>0</v>
      </c>
      <c r="L137">
        <v>0</v>
      </c>
      <c r="M137" s="10">
        <v>2117</v>
      </c>
      <c r="N137">
        <f t="shared" si="1"/>
        <v>2117</v>
      </c>
      <c r="P1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Row],[orderNum]],ТабПозиции[orderSumm])&gt;1500),ABS(N137*VLOOKUP(ТабПозиции[[#This Row],[orderNum]],ТабЗаказы[#Data],MATCH("Percent",ТабЗаказы[#Headers],0),0))/100,200/COUNTIF(ТабПозиции[orderNum],ТабПозиции[[#This Row],[orderNum]])),0),"")</f>
        <v>318</v>
      </c>
      <c r="Q137">
        <f>IF(OR(ТабПозиции[[#This Row],[item]]="По штрихкоду",ТабПозиции[[#This Row],[item]]="Посылка"),ТабПозиции[[#This Row],[deliverySumm]]+ТабПозиции[[#This Row],[deliveryPost]],SUM(N137:P137))</f>
        <v>318</v>
      </c>
      <c r="R137" s="41">
        <v>318</v>
      </c>
      <c r="S137" s="46">
        <f>ТабПозиции[[#This Row],[totalSumm]]-ТабПозиции[[#This Row],[payment]]</f>
        <v>0</v>
      </c>
      <c r="T137" s="18" t="s">
        <v>584</v>
      </c>
      <c r="U137" s="40" t="s">
        <v>545</v>
      </c>
      <c r="V137" s="40" t="s">
        <v>545</v>
      </c>
      <c r="W137" s="40" t="s">
        <v>545</v>
      </c>
      <c r="X137"/>
      <c r="Y137"/>
    </row>
    <row r="138" spans="1:25" hidden="1" x14ac:dyDescent="0.25">
      <c r="A138" s="10">
        <v>24</v>
      </c>
      <c r="B138" s="1">
        <f>IFERROR(VLOOKUP(ТабПозиции[[#This Row],[orderNum]],ТабЗаказы[#Data],MATCH(B$7,ТабЗаказы[#Headers],0),0),"")</f>
        <v>45376</v>
      </c>
      <c r="C138" t="str">
        <f>MONTH(ТабПозиции[[#This Row],[date]])&amp;"/"&amp;YEAR(ТабПозиции[[#This Row],[date]])</f>
        <v>3/2024</v>
      </c>
      <c r="D138" s="1" t="str">
        <f>IFERROR(VLOOKUP(ТабПозиции[[#This Row],[orderNum]],ТабЗаказы[#Data],MATCH(D$7,ТабЗаказы[#Headers],0),0),"")</f>
        <v/>
      </c>
      <c r="E138" s="1" t="str">
        <f>IFERROR(VLOOKUP(ТабПозиции[[#This Row],[orderNum]],ТабЗаказы[#Data],MATCH(E$7,ТабЗаказы[#Headers],0),0),"")</f>
        <v/>
      </c>
      <c r="F138" s="10" t="s">
        <v>32</v>
      </c>
      <c r="G138" s="40" t="s">
        <v>545</v>
      </c>
      <c r="H138" s="12" t="s">
        <v>675</v>
      </c>
      <c r="I138" s="18">
        <v>45387</v>
      </c>
      <c r="J138" s="10">
        <v>1</v>
      </c>
      <c r="K138" s="10">
        <v>0</v>
      </c>
      <c r="L138">
        <v>0</v>
      </c>
      <c r="M138" s="10">
        <v>645</v>
      </c>
      <c r="N138">
        <f t="shared" si="1"/>
        <v>645</v>
      </c>
      <c r="P1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Row],[orderNum]],ТабПозиции[orderSumm])&gt;1500),ABS(N138*VLOOKUP(ТабПозиции[[#This Row],[orderNum]],ТабЗаказы[#Data],MATCH("Percent",ТабЗаказы[#Headers],0),0))/100,200/COUNTIF(ТабПозиции[orderNum],ТабПозиции[[#This Row],[orderNum]])),0),"")</f>
        <v>97</v>
      </c>
      <c r="Q138">
        <f>IF(OR(ТабПозиции[[#This Row],[item]]="По штрихкоду",ТабПозиции[[#This Row],[item]]="Посылка"),ТабПозиции[[#This Row],[deliverySumm]]+ТабПозиции[[#This Row],[deliveryPost]],SUM(N138:P138))</f>
        <v>97</v>
      </c>
      <c r="R138" s="41">
        <v>97</v>
      </c>
      <c r="S138" s="46">
        <f>ТабПозиции[[#This Row],[totalSumm]]-ТабПозиции[[#This Row],[payment]]</f>
        <v>0</v>
      </c>
      <c r="T138" s="18" t="s">
        <v>584</v>
      </c>
      <c r="U138" s="40" t="s">
        <v>545</v>
      </c>
      <c r="V138" s="40" t="s">
        <v>545</v>
      </c>
      <c r="W138" s="40" t="s">
        <v>545</v>
      </c>
      <c r="X138"/>
      <c r="Y138"/>
    </row>
    <row r="139" spans="1:25" hidden="1" x14ac:dyDescent="0.25">
      <c r="A139" s="10">
        <v>46</v>
      </c>
      <c r="B139" s="1">
        <f>IFERROR(VLOOKUP(ТабПозиции[[#This Row],[orderNum]],ТабЗаказы[#Data],MATCH(B$7,ТабЗаказы[#Headers],0),0),"")</f>
        <v>45387</v>
      </c>
      <c r="C139" t="str">
        <f>MONTH(ТабПозиции[[#This Row],[date]])&amp;"/"&amp;YEAR(ТабПозиции[[#This Row],[date]])</f>
        <v>4/2024</v>
      </c>
      <c r="D139" s="1" t="str">
        <f>IFERROR(VLOOKUP(ТабПозиции[[#This Row],[orderNum]],ТабЗаказы[#Data],MATCH(D$7,ТабЗаказы[#Headers],0),0),"")</f>
        <v/>
      </c>
      <c r="E139" s="1" t="str">
        <f>IFERROR(VLOOKUP(ТабПозиции[[#This Row],[orderNum]],ТабЗаказы[#Data],MATCH(E$7,ТабЗаказы[#Headers],0),0),"")</f>
        <v/>
      </c>
      <c r="F139" s="10" t="s">
        <v>32</v>
      </c>
      <c r="G139" s="40" t="s">
        <v>545</v>
      </c>
      <c r="I139" s="18">
        <v>45387</v>
      </c>
      <c r="J139" s="10">
        <v>1</v>
      </c>
      <c r="K139" s="10">
        <v>0</v>
      </c>
      <c r="L139">
        <v>0</v>
      </c>
      <c r="M139" s="10">
        <v>3000</v>
      </c>
      <c r="N139">
        <f t="shared" si="1"/>
        <v>3000</v>
      </c>
      <c r="P1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Row],[orderNum]],ТабПозиции[orderSumm])&gt;1500),ABS(N139*VLOOKUP(ТабПозиции[[#This Row],[orderNum]],ТабЗаказы[#Data],MATCH("Percent",ТабЗаказы[#Headers],0),0))/100,200/COUNTIF(ТабПозиции[orderNum],ТабПозиции[[#This Row],[orderNum]])),0),"")</f>
        <v>300</v>
      </c>
      <c r="Q139">
        <f>IF(OR(ТабПозиции[[#This Row],[item]]="По штрихкоду",ТабПозиции[[#This Row],[item]]="Посылка"),ТабПозиции[[#This Row],[deliverySumm]]+ТабПозиции[[#This Row],[deliveryPost]],SUM(N139:P139))</f>
        <v>300</v>
      </c>
      <c r="R139" s="41">
        <v>300</v>
      </c>
      <c r="S139" s="46">
        <f>ТабПозиции[[#This Row],[totalSumm]]-ТабПозиции[[#This Row],[payment]]</f>
        <v>0</v>
      </c>
      <c r="T139" s="18" t="s">
        <v>676</v>
      </c>
      <c r="U139" s="40" t="s">
        <v>545</v>
      </c>
      <c r="V139" s="40" t="s">
        <v>545</v>
      </c>
      <c r="W139" s="40" t="s">
        <v>545</v>
      </c>
      <c r="X139"/>
      <c r="Y139"/>
    </row>
    <row r="140" spans="1:25" hidden="1" x14ac:dyDescent="0.25">
      <c r="A140" s="10">
        <v>46</v>
      </c>
      <c r="B140" s="1">
        <f>IFERROR(VLOOKUP(ТабПозиции[[#This Row],[orderNum]],ТабЗаказы[#Data],MATCH(B$7,ТабЗаказы[#Headers],0),0),"")</f>
        <v>45387</v>
      </c>
      <c r="C140" t="str">
        <f>MONTH(ТабПозиции[[#This Row],[date]])&amp;"/"&amp;YEAR(ТабПозиции[[#This Row],[date]])</f>
        <v>4/2024</v>
      </c>
      <c r="D140" s="1" t="str">
        <f>IFERROR(VLOOKUP(ТабПозиции[[#This Row],[orderNum]],ТабЗаказы[#Data],MATCH(D$7,ТабЗаказы[#Headers],0),0),"")</f>
        <v/>
      </c>
      <c r="E140" s="1" t="str">
        <f>IFERROR(VLOOKUP(ТабПозиции[[#This Row],[orderNum]],ТабЗаказы[#Data],MATCH(E$7,ТабЗаказы[#Headers],0),0),"")</f>
        <v/>
      </c>
      <c r="F140" s="10" t="s">
        <v>32</v>
      </c>
      <c r="G140" s="40" t="s">
        <v>545</v>
      </c>
      <c r="I140" s="18">
        <v>45387</v>
      </c>
      <c r="J140" s="10">
        <v>1</v>
      </c>
      <c r="K140" s="10">
        <v>0</v>
      </c>
      <c r="L140">
        <v>0</v>
      </c>
      <c r="M140" s="10">
        <v>8421</v>
      </c>
      <c r="N140">
        <f t="shared" ref="N140:N203" si="2">M140*J140</f>
        <v>8421</v>
      </c>
      <c r="P1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Row],[orderNum]],ТабПозиции[orderSumm])&gt;1500),ABS(N140*VLOOKUP(ТабПозиции[[#This Row],[orderNum]],ТабЗаказы[#Data],MATCH("Percent",ТабЗаказы[#Headers],0),0))/100,200/COUNTIF(ТабПозиции[orderNum],ТабПозиции[[#This Row],[orderNum]])),0),"")</f>
        <v>842</v>
      </c>
      <c r="Q140">
        <f>IF(OR(ТабПозиции[[#This Row],[item]]="По штрихкоду",ТабПозиции[[#This Row],[item]]="Посылка"),ТабПозиции[[#This Row],[deliverySumm]]+ТабПозиции[[#This Row],[deliveryPost]],SUM(N140:P140))</f>
        <v>842</v>
      </c>
      <c r="R140" s="41">
        <v>842</v>
      </c>
      <c r="S140" s="46">
        <f>ТабПозиции[[#This Row],[totalSumm]]-ТабПозиции[[#This Row],[payment]]</f>
        <v>0</v>
      </c>
      <c r="T140" s="18" t="s">
        <v>676</v>
      </c>
      <c r="U140" s="40" t="s">
        <v>545</v>
      </c>
      <c r="V140" s="40" t="s">
        <v>545</v>
      </c>
      <c r="W140" s="40" t="s">
        <v>545</v>
      </c>
      <c r="X140"/>
      <c r="Y140"/>
    </row>
    <row r="141" spans="1:25" hidden="1" x14ac:dyDescent="0.25">
      <c r="A141" s="10">
        <v>46</v>
      </c>
      <c r="B141" s="1">
        <f>IFERROR(VLOOKUP(ТабПозиции[[#This Row],[orderNum]],ТабЗаказы[#Data],MATCH(B$7,ТабЗаказы[#Headers],0),0),"")</f>
        <v>45387</v>
      </c>
      <c r="C141" t="str">
        <f>MONTH(ТабПозиции[[#This Row],[date]])&amp;"/"&amp;YEAR(ТабПозиции[[#This Row],[date]])</f>
        <v>4/2024</v>
      </c>
      <c r="D141" s="1" t="str">
        <f>IFERROR(VLOOKUP(ТабПозиции[[#This Row],[orderNum]],ТабЗаказы[#Data],MATCH(D$7,ТабЗаказы[#Headers],0),0),"")</f>
        <v/>
      </c>
      <c r="E141" s="1" t="str">
        <f>IFERROR(VLOOKUP(ТабПозиции[[#This Row],[orderNum]],ТабЗаказы[#Data],MATCH(E$7,ТабЗаказы[#Headers],0),0),"")</f>
        <v/>
      </c>
      <c r="F141" s="10" t="s">
        <v>32</v>
      </c>
      <c r="G141" s="40" t="s">
        <v>545</v>
      </c>
      <c r="I141" s="18">
        <v>45387</v>
      </c>
      <c r="J141" s="10">
        <v>1</v>
      </c>
      <c r="K141" s="10">
        <v>0</v>
      </c>
      <c r="L141">
        <v>0</v>
      </c>
      <c r="M141" s="10">
        <v>7190</v>
      </c>
      <c r="N141">
        <f t="shared" si="2"/>
        <v>7190</v>
      </c>
      <c r="P1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Row],[orderNum]],ТабПозиции[orderSumm])&gt;1500),ABS(N141*VLOOKUP(ТабПозиции[[#This Row],[orderNum]],ТабЗаказы[#Data],MATCH("Percent",ТабЗаказы[#Headers],0),0))/100,200/COUNTIF(ТабПозиции[orderNum],ТабПозиции[[#This Row],[orderNum]])),0),"")</f>
        <v>719</v>
      </c>
      <c r="Q141">
        <f>IF(OR(ТабПозиции[[#This Row],[item]]="По штрихкоду",ТабПозиции[[#This Row],[item]]="Посылка"),ТабПозиции[[#This Row],[deliverySumm]]+ТабПозиции[[#This Row],[deliveryPost]],SUM(N141:P141))</f>
        <v>719</v>
      </c>
      <c r="R141" s="41">
        <v>719</v>
      </c>
      <c r="S141" s="46">
        <f>ТабПозиции[[#This Row],[totalSumm]]-ТабПозиции[[#This Row],[payment]]</f>
        <v>0</v>
      </c>
      <c r="T141" s="18" t="s">
        <v>676</v>
      </c>
      <c r="U141" s="40" t="s">
        <v>545</v>
      </c>
      <c r="V141" s="40" t="s">
        <v>545</v>
      </c>
      <c r="W141" s="40" t="s">
        <v>545</v>
      </c>
      <c r="X141"/>
      <c r="Y141"/>
    </row>
    <row r="142" spans="1:25" hidden="1" x14ac:dyDescent="0.25">
      <c r="A142" s="10">
        <v>46</v>
      </c>
      <c r="B142" s="1">
        <f>IFERROR(VLOOKUP(ТабПозиции[[#This Row],[orderNum]],ТабЗаказы[#Data],MATCH(B$7,ТабЗаказы[#Headers],0),0),"")</f>
        <v>45387</v>
      </c>
      <c r="C142" t="str">
        <f>MONTH(ТабПозиции[[#This Row],[date]])&amp;"/"&amp;YEAR(ТабПозиции[[#This Row],[date]])</f>
        <v>4/2024</v>
      </c>
      <c r="D142" s="1" t="str">
        <f>IFERROR(VLOOKUP(ТабПозиции[[#This Row],[orderNum]],ТабЗаказы[#Data],MATCH(D$7,ТабЗаказы[#Headers],0),0),"")</f>
        <v/>
      </c>
      <c r="E142" s="1" t="str">
        <f>IFERROR(VLOOKUP(ТабПозиции[[#This Row],[orderNum]],ТабЗаказы[#Data],MATCH(E$7,ТабЗаказы[#Headers],0),0),"")</f>
        <v/>
      </c>
      <c r="F142" s="10" t="s">
        <v>32</v>
      </c>
      <c r="G142" s="40" t="s">
        <v>545</v>
      </c>
      <c r="I142" s="18">
        <v>45387</v>
      </c>
      <c r="J142" s="10">
        <v>1</v>
      </c>
      <c r="K142" s="10">
        <v>0</v>
      </c>
      <c r="L142">
        <v>0</v>
      </c>
      <c r="M142" s="10">
        <v>14990</v>
      </c>
      <c r="N142">
        <f t="shared" si="2"/>
        <v>14990</v>
      </c>
      <c r="P1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Row],[orderNum]],ТабПозиции[orderSumm])&gt;1500),ABS(N142*VLOOKUP(ТабПозиции[[#This Row],[orderNum]],ТабЗаказы[#Data],MATCH("Percent",ТабЗаказы[#Headers],0),0))/100,200/COUNTIF(ТабПозиции[orderNum],ТабПозиции[[#This Row],[orderNum]])),0),"")</f>
        <v>1499</v>
      </c>
      <c r="Q142">
        <f>IF(OR(ТабПозиции[[#This Row],[item]]="По штрихкоду",ТабПозиции[[#This Row],[item]]="Посылка"),ТабПозиции[[#This Row],[deliverySumm]]+ТабПозиции[[#This Row],[deliveryPost]],SUM(N142:P142))</f>
        <v>1499</v>
      </c>
      <c r="R142" s="41">
        <v>1499</v>
      </c>
      <c r="S142" s="46">
        <f>ТабПозиции[[#This Row],[totalSumm]]-ТабПозиции[[#This Row],[payment]]</f>
        <v>0</v>
      </c>
      <c r="T142" s="18" t="s">
        <v>632</v>
      </c>
      <c r="U142" s="40" t="s">
        <v>545</v>
      </c>
      <c r="V142" s="40" t="s">
        <v>545</v>
      </c>
      <c r="W142" s="40" t="s">
        <v>545</v>
      </c>
      <c r="X142"/>
      <c r="Y142"/>
    </row>
    <row r="143" spans="1:25" hidden="1" x14ac:dyDescent="0.25">
      <c r="A143" s="10">
        <v>47</v>
      </c>
      <c r="B143" s="1">
        <f>IFERROR(VLOOKUP(ТабПозиции[[#This Row],[orderNum]],ТабЗаказы[#Data],MATCH(B$7,ТабЗаказы[#Headers],0),0),"")</f>
        <v>45387</v>
      </c>
      <c r="C143" t="str">
        <f>MONTH(ТабПозиции[[#This Row],[date]])&amp;"/"&amp;YEAR(ТабПозиции[[#This Row],[date]])</f>
        <v>4/2024</v>
      </c>
      <c r="D143" s="1" t="str">
        <f>IFERROR(VLOOKUP(ТабПозиции[[#This Row],[orderNum]],ТабЗаказы[#Data],MATCH(D$7,ТабЗаказы[#Headers],0),0),"")</f>
        <v/>
      </c>
      <c r="E143" s="1" t="str">
        <f>IFERROR(VLOOKUP(ТабПозиции[[#This Row],[orderNum]],ТабЗаказы[#Data],MATCH(E$7,ТабЗаказы[#Headers],0),0),"")</f>
        <v/>
      </c>
      <c r="F143" s="10" t="s">
        <v>32</v>
      </c>
      <c r="G143" s="40" t="s">
        <v>545</v>
      </c>
      <c r="I143" s="18">
        <v>45387</v>
      </c>
      <c r="J143" s="10">
        <v>1</v>
      </c>
      <c r="K143" s="10">
        <v>0</v>
      </c>
      <c r="L143">
        <v>0</v>
      </c>
      <c r="M143" s="10">
        <v>1856</v>
      </c>
      <c r="N143">
        <f t="shared" si="2"/>
        <v>1856</v>
      </c>
      <c r="P1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Row],[orderNum]],ТабПозиции[orderSumm])&gt;1500),ABS(N143*VLOOKUP(ТабПозиции[[#This Row],[orderNum]],ТабЗаказы[#Data],MATCH("Percent",ТабЗаказы[#Headers],0),0))/100,200/COUNTIF(ТабПозиции[orderNum],ТабПозиции[[#This Row],[orderNum]])),0),"")</f>
        <v>186</v>
      </c>
      <c r="Q143">
        <f>IF(OR(ТабПозиции[[#This Row],[item]]="По штрихкоду",ТабПозиции[[#This Row],[item]]="Посылка"),ТабПозиции[[#This Row],[deliverySumm]]+ТабПозиции[[#This Row],[deliveryPost]],SUM(N143:P143))</f>
        <v>186</v>
      </c>
      <c r="R143" s="41">
        <v>186</v>
      </c>
      <c r="S143" s="46">
        <f>ТабПозиции[[#This Row],[totalSumm]]-ТабПозиции[[#This Row],[payment]]</f>
        <v>0</v>
      </c>
      <c r="T143" s="18" t="s">
        <v>548</v>
      </c>
      <c r="U143" s="40" t="s">
        <v>545</v>
      </c>
      <c r="V143" s="40" t="s">
        <v>545</v>
      </c>
      <c r="W143" s="40" t="s">
        <v>545</v>
      </c>
      <c r="X143"/>
      <c r="Y143"/>
    </row>
    <row r="144" spans="1:25" hidden="1" x14ac:dyDescent="0.25">
      <c r="A144" s="10">
        <v>48</v>
      </c>
      <c r="B144" s="1">
        <f>IFERROR(VLOOKUP(ТабПозиции[[#This Row],[orderNum]],ТабЗаказы[#Data],MATCH(B$7,ТабЗаказы[#Headers],0),0),"")</f>
        <v>45387</v>
      </c>
      <c r="C144" t="str">
        <f>MONTH(ТабПозиции[[#This Row],[date]])&amp;"/"&amp;YEAR(ТабПозиции[[#This Row],[date]])</f>
        <v>4/2024</v>
      </c>
      <c r="D144" s="1" t="str">
        <f>IFERROR(VLOOKUP(ТабПозиции[[#This Row],[orderNum]],ТабЗаказы[#Data],MATCH(D$7,ТабЗаказы[#Headers],0),0),"")</f>
        <v/>
      </c>
      <c r="E144" s="1" t="str">
        <f>IFERROR(VLOOKUP(ТабПозиции[[#This Row],[orderNum]],ТабЗаказы[#Data],MATCH(E$7,ТабЗаказы[#Headers],0),0),"")</f>
        <v/>
      </c>
      <c r="F144" s="10" t="s">
        <v>32</v>
      </c>
      <c r="G144" s="40" t="s">
        <v>545</v>
      </c>
      <c r="I144" s="18">
        <v>45387</v>
      </c>
      <c r="J144" s="10">
        <v>1</v>
      </c>
      <c r="K144" s="10">
        <v>0</v>
      </c>
      <c r="L144">
        <v>0</v>
      </c>
      <c r="M144" s="10">
        <v>35500</v>
      </c>
      <c r="N144">
        <f t="shared" si="2"/>
        <v>35500</v>
      </c>
      <c r="P1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Row],[orderNum]],ТабПозиции[orderSumm])&gt;1500),ABS(N144*VLOOKUP(ТабПозиции[[#This Row],[orderNum]],ТабЗаказы[#Data],MATCH("Percent",ТабЗаказы[#Headers],0),0))/100,200/COUNTIF(ТабПозиции[orderNum],ТабПозиции[[#This Row],[orderNum]])),0),"")</f>
        <v>3550</v>
      </c>
      <c r="Q144">
        <f>IF(OR(ТабПозиции[[#This Row],[item]]="По штрихкоду",ТабПозиции[[#This Row],[item]]="Посылка"),ТабПозиции[[#This Row],[deliverySumm]]+ТабПозиции[[#This Row],[deliveryPost]],SUM(N144:P144))</f>
        <v>3550</v>
      </c>
      <c r="R144" s="41">
        <v>3550</v>
      </c>
      <c r="S144" s="46">
        <f>ТабПозиции[[#This Row],[totalSumm]]-ТабПозиции[[#This Row],[payment]]</f>
        <v>0</v>
      </c>
      <c r="T144" s="18" t="s">
        <v>580</v>
      </c>
      <c r="U144" s="40" t="s">
        <v>545</v>
      </c>
      <c r="V144" s="40" t="s">
        <v>545</v>
      </c>
      <c r="W144" s="40" t="s">
        <v>545</v>
      </c>
      <c r="X144"/>
      <c r="Y144"/>
    </row>
    <row r="145" spans="1:25" hidden="1" x14ac:dyDescent="0.25">
      <c r="A145" s="10">
        <v>49</v>
      </c>
      <c r="B145" s="1">
        <f>IFERROR(VLOOKUP(ТабПозиции[[#This Row],[orderNum]],ТабЗаказы[#Data],MATCH(B$7,ТабЗаказы[#Headers],0),0),"")</f>
        <v>45388</v>
      </c>
      <c r="C145" t="str">
        <f>MONTH(ТабПозиции[[#This Row],[date]])&amp;"/"&amp;YEAR(ТабПозиции[[#This Row],[date]])</f>
        <v>4/2024</v>
      </c>
      <c r="D145" s="1" t="str">
        <f>IFERROR(VLOOKUP(ТабПозиции[[#This Row],[orderNum]],ТабЗаказы[#Data],MATCH(D$7,ТабЗаказы[#Headers],0),0),"")</f>
        <v/>
      </c>
      <c r="E145" s="1" t="str">
        <f>IFERROR(VLOOKUP(ТабПозиции[[#This Row],[orderNum]],ТабЗаказы[#Data],MATCH(E$7,ТабЗаказы[#Headers],0),0),"")</f>
        <v/>
      </c>
      <c r="F145" s="16" t="s">
        <v>677</v>
      </c>
      <c r="G145" s="40" t="s">
        <v>545</v>
      </c>
      <c r="I145" s="18">
        <v>45391</v>
      </c>
      <c r="J145" s="10">
        <v>6</v>
      </c>
      <c r="K145" s="10">
        <v>247</v>
      </c>
      <c r="L145">
        <v>1482</v>
      </c>
      <c r="M145" s="10">
        <v>255</v>
      </c>
      <c r="N145">
        <f t="shared" si="2"/>
        <v>1530</v>
      </c>
      <c r="P1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Row],[orderNum]],ТабПозиции[orderSumm])&gt;1500),ABS(N145*VLOOKUP(ТабПозиции[[#This Row],[orderNum]],ТабЗаказы[#Data],MATCH("Percent",ТабЗаказы[#Headers],0),0))/100,200/COUNTIF(ТабПозиции[orderNum],ТабПозиции[[#This Row],[orderNum]])),0),"")</f>
        <v>230</v>
      </c>
      <c r="Q145">
        <f>IF(OR(ТабПозиции[[#This Row],[item]]="По штрихкоду",ТабПозиции[[#This Row],[item]]="Посылка"),ТабПозиции[[#This Row],[deliverySumm]]+ТабПозиции[[#This Row],[deliveryPost]],SUM(N145:P145))</f>
        <v>1760</v>
      </c>
      <c r="R145" s="41">
        <v>1760</v>
      </c>
      <c r="S145" s="46">
        <f>ТабПозиции[[#This Row],[totalSumm]]-ТабПозиции[[#This Row],[payment]]</f>
        <v>0</v>
      </c>
      <c r="T145" s="18" t="s">
        <v>563</v>
      </c>
      <c r="U145" s="40" t="s">
        <v>545</v>
      </c>
      <c r="V145" s="40" t="s">
        <v>545</v>
      </c>
      <c r="W145" s="40" t="s">
        <v>545</v>
      </c>
      <c r="X145"/>
      <c r="Y145"/>
    </row>
    <row r="146" spans="1:25" hidden="1" x14ac:dyDescent="0.25">
      <c r="A146" s="10">
        <v>49</v>
      </c>
      <c r="B146" s="1">
        <f>IFERROR(VLOOKUP(ТабПозиции[[#This Row],[orderNum]],ТабЗаказы[#Data],MATCH(B$7,ТабЗаказы[#Headers],0),0),"")</f>
        <v>45388</v>
      </c>
      <c r="C146" t="str">
        <f>MONTH(ТабПозиции[[#This Row],[date]])&amp;"/"&amp;YEAR(ТабПозиции[[#This Row],[date]])</f>
        <v>4/2024</v>
      </c>
      <c r="D146" s="1" t="str">
        <f>IFERROR(VLOOKUP(ТабПозиции[[#This Row],[orderNum]],ТабЗаказы[#Data],MATCH(D$7,ТабЗаказы[#Headers],0),0),"")</f>
        <v/>
      </c>
      <c r="E146" s="1" t="str">
        <f>IFERROR(VLOOKUP(ТабПозиции[[#This Row],[orderNum]],ТабЗаказы[#Data],MATCH(E$7,ТабЗаказы[#Headers],0),0),"")</f>
        <v/>
      </c>
      <c r="F146" s="16" t="s">
        <v>678</v>
      </c>
      <c r="G146" s="40" t="s">
        <v>545</v>
      </c>
      <c r="I146" s="18">
        <v>45390</v>
      </c>
      <c r="J146" s="10">
        <v>1</v>
      </c>
      <c r="K146" s="10">
        <v>262</v>
      </c>
      <c r="L146">
        <v>262</v>
      </c>
      <c r="M146" s="10">
        <v>271</v>
      </c>
      <c r="N146">
        <f t="shared" si="2"/>
        <v>271</v>
      </c>
      <c r="P1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Row],[orderNum]],ТабПозиции[orderSumm])&gt;1500),ABS(N146*VLOOKUP(ТабПозиции[[#This Row],[orderNum]],ТабЗаказы[#Data],MATCH("Percent",ТабЗаказы[#Headers],0),0))/100,200/COUNTIF(ТабПозиции[orderNum],ТабПозиции[[#This Row],[orderNum]])),0),"")</f>
        <v>41</v>
      </c>
      <c r="Q146">
        <f>IF(OR(ТабПозиции[[#This Row],[item]]="По штрихкоду",ТабПозиции[[#This Row],[item]]="Посылка"),ТабПозиции[[#This Row],[deliverySumm]]+ТабПозиции[[#This Row],[deliveryPost]],SUM(N146:P146))</f>
        <v>312</v>
      </c>
      <c r="R146" s="41">
        <v>312</v>
      </c>
      <c r="S146" s="46">
        <f>ТабПозиции[[#This Row],[totalSumm]]-ТабПозиции[[#This Row],[payment]]</f>
        <v>0</v>
      </c>
      <c r="T146" s="18" t="s">
        <v>563</v>
      </c>
      <c r="U146" s="40" t="s">
        <v>545</v>
      </c>
      <c r="V146" s="40" t="s">
        <v>545</v>
      </c>
      <c r="W146" s="40" t="s">
        <v>545</v>
      </c>
      <c r="X146"/>
      <c r="Y146"/>
    </row>
    <row r="147" spans="1:25" hidden="1" x14ac:dyDescent="0.25">
      <c r="A147" s="10">
        <v>49</v>
      </c>
      <c r="B147" s="1">
        <f>IFERROR(VLOOKUP(ТабПозиции[[#This Row],[orderNum]],ТабЗаказы[#Data],MATCH(B$7,ТабЗаказы[#Headers],0),0),"")</f>
        <v>45388</v>
      </c>
      <c r="C147" t="str">
        <f>MONTH(ТабПозиции[[#This Row],[date]])&amp;"/"&amp;YEAR(ТабПозиции[[#This Row],[date]])</f>
        <v>4/2024</v>
      </c>
      <c r="D147" s="1" t="str">
        <f>IFERROR(VLOOKUP(ТабПозиции[[#This Row],[orderNum]],ТабЗаказы[#Data],MATCH(D$7,ТабЗаказы[#Headers],0),0),"")</f>
        <v/>
      </c>
      <c r="E147" s="1" t="str">
        <f>IFERROR(VLOOKUP(ТабПозиции[[#This Row],[orderNum]],ТабЗаказы[#Data],MATCH(E$7,ТабЗаказы[#Headers],0),0),"")</f>
        <v/>
      </c>
      <c r="F147" s="16" t="s">
        <v>679</v>
      </c>
      <c r="G147" s="40" t="s">
        <v>545</v>
      </c>
      <c r="I147" s="18">
        <v>45390</v>
      </c>
      <c r="J147" s="10">
        <v>1</v>
      </c>
      <c r="K147" s="10">
        <v>239</v>
      </c>
      <c r="L147">
        <v>239</v>
      </c>
      <c r="M147" s="10">
        <v>419</v>
      </c>
      <c r="N147">
        <f t="shared" si="2"/>
        <v>419</v>
      </c>
      <c r="P1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Row],[orderNum]],ТабПозиции[orderSumm])&gt;1500),ABS(N147*VLOOKUP(ТабПозиции[[#This Row],[orderNum]],ТабЗаказы[#Data],MATCH("Percent",ТабЗаказы[#Headers],0),0))/100,200/COUNTIF(ТабПозиции[orderNum],ТабПозиции[[#This Row],[orderNum]])),0),"")</f>
        <v>63</v>
      </c>
      <c r="Q147">
        <f>IF(OR(ТабПозиции[[#This Row],[item]]="По штрихкоду",ТабПозиции[[#This Row],[item]]="Посылка"),ТабПозиции[[#This Row],[deliverySumm]]+ТабПозиции[[#This Row],[deliveryPost]],SUM(N147:P147))</f>
        <v>482</v>
      </c>
      <c r="R147" s="41">
        <v>482</v>
      </c>
      <c r="S147" s="46">
        <f>ТабПозиции[[#This Row],[totalSumm]]-ТабПозиции[[#This Row],[payment]]</f>
        <v>0</v>
      </c>
      <c r="T147" s="18" t="s">
        <v>563</v>
      </c>
      <c r="U147" s="40" t="s">
        <v>545</v>
      </c>
      <c r="V147" s="40" t="s">
        <v>545</v>
      </c>
      <c r="W147" s="40" t="s">
        <v>545</v>
      </c>
      <c r="X147"/>
      <c r="Y147"/>
    </row>
    <row r="148" spans="1:25" hidden="1" x14ac:dyDescent="0.25">
      <c r="A148" s="10">
        <v>49</v>
      </c>
      <c r="B148" s="1">
        <f>IFERROR(VLOOKUP(ТабПозиции[[#This Row],[orderNum]],ТабЗаказы[#Data],MATCH(B$7,ТабЗаказы[#Headers],0),0),"")</f>
        <v>45388</v>
      </c>
      <c r="C148" t="str">
        <f>MONTH(ТабПозиции[[#This Row],[date]])&amp;"/"&amp;YEAR(ТабПозиции[[#This Row],[date]])</f>
        <v>4/2024</v>
      </c>
      <c r="D148" s="1" t="str">
        <f>IFERROR(VLOOKUP(ТабПозиции[[#This Row],[orderNum]],ТабЗаказы[#Data],MATCH(D$7,ТабЗаказы[#Headers],0),0),"")</f>
        <v/>
      </c>
      <c r="E148" s="1" t="str">
        <f>IFERROR(VLOOKUP(ТабПозиции[[#This Row],[orderNum]],ТабЗаказы[#Data],MATCH(E$7,ТабЗаказы[#Headers],0),0),"")</f>
        <v/>
      </c>
      <c r="F148" s="16" t="s">
        <v>680</v>
      </c>
      <c r="G148" s="40" t="s">
        <v>545</v>
      </c>
      <c r="I148" s="18">
        <v>45391</v>
      </c>
      <c r="J148" s="10">
        <v>1</v>
      </c>
      <c r="K148" s="10">
        <v>275</v>
      </c>
      <c r="L148">
        <v>275</v>
      </c>
      <c r="M148" s="10">
        <v>284</v>
      </c>
      <c r="N148">
        <f t="shared" si="2"/>
        <v>284</v>
      </c>
      <c r="P1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48">
        <f>IF(OR(ТабПозиции[[#This Row],[item]]="По штрихкоду",ТабПозиции[[#This Row],[item]]="Посылка"),ТабПозиции[[#This Row],[deliverySumm]]+ТабПозиции[[#This Row],[deliveryPost]],SUM(N148:P148))</f>
        <v>327</v>
      </c>
      <c r="R148" s="41">
        <v>327</v>
      </c>
      <c r="S148" s="46">
        <f>ТабПозиции[[#This Row],[totalSumm]]-ТабПозиции[[#This Row],[payment]]</f>
        <v>0</v>
      </c>
      <c r="T148" s="18" t="s">
        <v>563</v>
      </c>
      <c r="U148" s="40" t="s">
        <v>545</v>
      </c>
      <c r="V148" s="40" t="s">
        <v>545</v>
      </c>
      <c r="W148" s="40" t="s">
        <v>545</v>
      </c>
      <c r="X148"/>
      <c r="Y148"/>
    </row>
    <row r="149" spans="1:25" hidden="1" x14ac:dyDescent="0.25">
      <c r="A149" s="10">
        <v>49</v>
      </c>
      <c r="B149" s="1">
        <f>IFERROR(VLOOKUP(ТабПозиции[[#This Row],[orderNum]],ТабЗаказы[#Data],MATCH(B$7,ТабЗаказы[#Headers],0),0),"")</f>
        <v>45388</v>
      </c>
      <c r="C149" t="str">
        <f>MONTH(ТабПозиции[[#This Row],[date]])&amp;"/"&amp;YEAR(ТабПозиции[[#This Row],[date]])</f>
        <v>4/2024</v>
      </c>
      <c r="D149" s="1" t="str">
        <f>IFERROR(VLOOKUP(ТабПозиции[[#This Row],[orderNum]],ТабЗаказы[#Data],MATCH(D$7,ТабЗаказы[#Headers],0),0),"")</f>
        <v/>
      </c>
      <c r="E149" s="1" t="str">
        <f>IFERROR(VLOOKUP(ТабПозиции[[#This Row],[orderNum]],ТабЗаказы[#Data],MATCH(E$7,ТабЗаказы[#Headers],0),0),"")</f>
        <v/>
      </c>
      <c r="F149" s="16" t="s">
        <v>681</v>
      </c>
      <c r="G149" s="40" t="s">
        <v>545</v>
      </c>
      <c r="I149" s="18">
        <v>45390</v>
      </c>
      <c r="J149" s="10">
        <v>1</v>
      </c>
      <c r="K149" s="10">
        <v>259</v>
      </c>
      <c r="L149">
        <v>259</v>
      </c>
      <c r="M149" s="10">
        <v>268</v>
      </c>
      <c r="N149">
        <f t="shared" si="2"/>
        <v>268</v>
      </c>
      <c r="P1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Row],[orderNum]],ТабПозиции[orderSumm])&gt;1500),ABS(N149*VLOOKUP(ТабПозиции[[#This Row],[orderNum]],ТабЗаказы[#Data],MATCH("Percent",ТабЗаказы[#Headers],0),0))/100,200/COUNTIF(ТабПозиции[orderNum],ТабПозиции[[#This Row],[orderNum]])),0),"")</f>
        <v>40</v>
      </c>
      <c r="Q149">
        <f>IF(OR(ТабПозиции[[#This Row],[item]]="По штрихкоду",ТабПозиции[[#This Row],[item]]="Посылка"),ТабПозиции[[#This Row],[deliverySumm]]+ТабПозиции[[#This Row],[deliveryPost]],SUM(N149:P149))</f>
        <v>308</v>
      </c>
      <c r="R149" s="41">
        <v>308</v>
      </c>
      <c r="S149" s="46">
        <f>ТабПозиции[[#This Row],[totalSumm]]-ТабПозиции[[#This Row],[payment]]</f>
        <v>0</v>
      </c>
      <c r="T149" s="18" t="s">
        <v>563</v>
      </c>
      <c r="U149" s="40" t="s">
        <v>545</v>
      </c>
      <c r="V149" s="40" t="s">
        <v>545</v>
      </c>
      <c r="W149" s="40" t="s">
        <v>545</v>
      </c>
      <c r="X149"/>
      <c r="Y149"/>
    </row>
    <row r="150" spans="1:25" hidden="1" x14ac:dyDescent="0.25">
      <c r="A150" s="10">
        <v>49</v>
      </c>
      <c r="B150" s="1">
        <f>IFERROR(VLOOKUP(ТабПозиции[[#This Row],[orderNum]],ТабЗаказы[#Data],MATCH(B$7,ТабЗаказы[#Headers],0),0),"")</f>
        <v>45388</v>
      </c>
      <c r="C150" t="str">
        <f>MONTH(ТабПозиции[[#This Row],[date]])&amp;"/"&amp;YEAR(ТабПозиции[[#This Row],[date]])</f>
        <v>4/2024</v>
      </c>
      <c r="D150" s="1" t="str">
        <f>IFERROR(VLOOKUP(ТабПозиции[[#This Row],[orderNum]],ТабЗаказы[#Data],MATCH(D$7,ТабЗаказы[#Headers],0),0),"")</f>
        <v/>
      </c>
      <c r="E150" s="1" t="str">
        <f>IFERROR(VLOOKUP(ТабПозиции[[#This Row],[orderNum]],ТабЗаказы[#Data],MATCH(E$7,ТабЗаказы[#Headers],0),0),"")</f>
        <v/>
      </c>
      <c r="F150" s="16" t="s">
        <v>682</v>
      </c>
      <c r="G150" s="40" t="s">
        <v>545</v>
      </c>
      <c r="I150" s="18">
        <v>45390</v>
      </c>
      <c r="J150" s="10">
        <v>1</v>
      </c>
      <c r="K150" s="10">
        <v>238</v>
      </c>
      <c r="L150">
        <v>238</v>
      </c>
      <c r="M150" s="10">
        <v>246</v>
      </c>
      <c r="N150">
        <f t="shared" si="2"/>
        <v>246</v>
      </c>
      <c r="P1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Row],[orderNum]],ТабПозиции[orderSumm])&gt;1500),ABS(N150*VLOOKUP(ТабПозиции[[#This Row],[orderNum]],ТабЗаказы[#Data],MATCH("Percent",ТабЗаказы[#Headers],0),0))/100,200/COUNTIF(ТабПозиции[orderNum],ТабПозиции[[#This Row],[orderNum]])),0),"")</f>
        <v>37</v>
      </c>
      <c r="Q150">
        <f>IF(OR(ТабПозиции[[#This Row],[item]]="По штрихкоду",ТабПозиции[[#This Row],[item]]="Посылка"),ТабПозиции[[#This Row],[deliverySumm]]+ТабПозиции[[#This Row],[deliveryPost]],SUM(N150:P150))</f>
        <v>283</v>
      </c>
      <c r="R150" s="41">
        <v>283</v>
      </c>
      <c r="S150" s="46">
        <f>ТабПозиции[[#This Row],[totalSumm]]-ТабПозиции[[#This Row],[payment]]</f>
        <v>0</v>
      </c>
      <c r="T150" s="18" t="s">
        <v>563</v>
      </c>
      <c r="U150" s="40" t="s">
        <v>545</v>
      </c>
      <c r="V150" s="40" t="s">
        <v>545</v>
      </c>
      <c r="W150" s="40" t="s">
        <v>545</v>
      </c>
      <c r="X150"/>
      <c r="Y150"/>
    </row>
    <row r="151" spans="1:25" hidden="1" x14ac:dyDescent="0.25">
      <c r="A151" s="10">
        <v>49</v>
      </c>
      <c r="B151" s="1">
        <f>IFERROR(VLOOKUP(ТабПозиции[[#This Row],[orderNum]],ТабЗаказы[#Data],MATCH(B$7,ТабЗаказы[#Headers],0),0),"")</f>
        <v>45388</v>
      </c>
      <c r="C151" t="str">
        <f>MONTH(ТабПозиции[[#This Row],[date]])&amp;"/"&amp;YEAR(ТабПозиции[[#This Row],[date]])</f>
        <v>4/2024</v>
      </c>
      <c r="D151" s="1" t="str">
        <f>IFERROR(VLOOKUP(ТабПозиции[[#This Row],[orderNum]],ТабЗаказы[#Data],MATCH(D$7,ТабЗаказы[#Headers],0),0),"")</f>
        <v/>
      </c>
      <c r="E151" s="1" t="str">
        <f>IFERROR(VLOOKUP(ТабПозиции[[#This Row],[orderNum]],ТабЗаказы[#Data],MATCH(E$7,ТабЗаказы[#Headers],0),0),"")</f>
        <v/>
      </c>
      <c r="F151" s="16" t="s">
        <v>683</v>
      </c>
      <c r="G151" s="40" t="s">
        <v>545</v>
      </c>
      <c r="I151" s="18">
        <v>45391</v>
      </c>
      <c r="J151" s="10">
        <v>1</v>
      </c>
      <c r="K151" s="10">
        <v>239</v>
      </c>
      <c r="L151">
        <v>239</v>
      </c>
      <c r="M151" s="10">
        <v>247</v>
      </c>
      <c r="N151">
        <f t="shared" si="2"/>
        <v>247</v>
      </c>
      <c r="P1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Row],[orderNum]],ТабПозиции[orderSumm])&gt;1500),ABS(N151*VLOOKUP(ТабПозиции[[#This Row],[orderNum]],ТабЗаказы[#Data],MATCH("Percent",ТабЗаказы[#Headers],0),0))/100,200/COUNTIF(ТабПозиции[orderNum],ТабПозиции[[#This Row],[orderNum]])),0),"")</f>
        <v>37</v>
      </c>
      <c r="Q151">
        <f>IF(OR(ТабПозиции[[#This Row],[item]]="По штрихкоду",ТабПозиции[[#This Row],[item]]="Посылка"),ТабПозиции[[#This Row],[deliverySumm]]+ТабПозиции[[#This Row],[deliveryPost]],SUM(N151:P151))</f>
        <v>284</v>
      </c>
      <c r="R151" s="41">
        <v>284</v>
      </c>
      <c r="S151" s="46">
        <f>ТабПозиции[[#This Row],[totalSumm]]-ТабПозиции[[#This Row],[payment]]</f>
        <v>0</v>
      </c>
      <c r="T151" s="18" t="s">
        <v>563</v>
      </c>
      <c r="U151" s="40" t="s">
        <v>545</v>
      </c>
      <c r="V151" s="40" t="s">
        <v>545</v>
      </c>
      <c r="W151" s="40" t="s">
        <v>545</v>
      </c>
      <c r="X151"/>
      <c r="Y151"/>
    </row>
    <row r="152" spans="1:25" hidden="1" x14ac:dyDescent="0.25">
      <c r="A152" s="10">
        <v>49</v>
      </c>
      <c r="B152" s="1">
        <f>IFERROR(VLOOKUP(ТабПозиции[[#This Row],[orderNum]],ТабЗаказы[#Data],MATCH(B$7,ТабЗаказы[#Headers],0),0),"")</f>
        <v>45388</v>
      </c>
      <c r="C152" t="str">
        <f>MONTH(ТабПозиции[[#This Row],[date]])&amp;"/"&amp;YEAR(ТабПозиции[[#This Row],[date]])</f>
        <v>4/2024</v>
      </c>
      <c r="D152" s="1" t="str">
        <f>IFERROR(VLOOKUP(ТабПозиции[[#This Row],[orderNum]],ТабЗаказы[#Data],MATCH(D$7,ТабЗаказы[#Headers],0),0),"")</f>
        <v/>
      </c>
      <c r="E152" s="1" t="str">
        <f>IFERROR(VLOOKUP(ТабПозиции[[#This Row],[orderNum]],ТабЗаказы[#Data],MATCH(E$7,ТабЗаказы[#Headers],0),0),"")</f>
        <v/>
      </c>
      <c r="F152" s="16" t="s">
        <v>684</v>
      </c>
      <c r="G152" s="40" t="s">
        <v>545</v>
      </c>
      <c r="I152" s="18">
        <v>45392</v>
      </c>
      <c r="J152" s="10">
        <v>1</v>
      </c>
      <c r="K152" s="10">
        <v>494</v>
      </c>
      <c r="L152">
        <v>494</v>
      </c>
      <c r="M152" s="10">
        <v>510</v>
      </c>
      <c r="N152">
        <f t="shared" si="2"/>
        <v>510</v>
      </c>
      <c r="P1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Row],[orderNum]],ТабПозиции[orderSumm])&gt;1500),ABS(N152*VLOOKUP(ТабПозиции[[#This Row],[orderNum]],ТабЗаказы[#Data],MATCH("Percent",ТабЗаказы[#Headers],0),0))/100,200/COUNTIF(ТабПозиции[orderNum],ТабПозиции[[#This Row],[orderNum]])),0),"")</f>
        <v>77</v>
      </c>
      <c r="Q152">
        <f>IF(OR(ТабПозиции[[#This Row],[item]]="По штрихкоду",ТабПозиции[[#This Row],[item]]="Посылка"),ТабПозиции[[#This Row],[deliverySumm]]+ТабПозиции[[#This Row],[deliveryPost]],SUM(N152:P152))</f>
        <v>587</v>
      </c>
      <c r="R152" s="41">
        <v>587</v>
      </c>
      <c r="S152" s="46">
        <f>ТабПозиции[[#This Row],[totalSumm]]-ТабПозиции[[#This Row],[payment]]</f>
        <v>0</v>
      </c>
      <c r="T152" s="18" t="s">
        <v>563</v>
      </c>
      <c r="U152" s="40" t="s">
        <v>545</v>
      </c>
      <c r="V152" s="40" t="s">
        <v>545</v>
      </c>
      <c r="W152" s="40" t="s">
        <v>545</v>
      </c>
      <c r="X152"/>
      <c r="Y152"/>
    </row>
    <row r="153" spans="1:25" hidden="1" x14ac:dyDescent="0.25">
      <c r="A153" s="10">
        <v>49</v>
      </c>
      <c r="B153" s="1">
        <f>IFERROR(VLOOKUP(ТабПозиции[[#This Row],[orderNum]],ТабЗаказы[#Data],MATCH(B$7,ТабЗаказы[#Headers],0),0),"")</f>
        <v>45388</v>
      </c>
      <c r="C153" t="str">
        <f>MONTH(ТабПозиции[[#This Row],[date]])&amp;"/"&amp;YEAR(ТабПозиции[[#This Row],[date]])</f>
        <v>4/2024</v>
      </c>
      <c r="D153" s="1" t="str">
        <f>IFERROR(VLOOKUP(ТабПозиции[[#This Row],[orderNum]],ТабЗаказы[#Data],MATCH(D$7,ТабЗаказы[#Headers],0),0),"")</f>
        <v/>
      </c>
      <c r="E153" s="1" t="str">
        <f>IFERROR(VLOOKUP(ТабПозиции[[#This Row],[orderNum]],ТабЗаказы[#Data],MATCH(E$7,ТабЗаказы[#Headers],0),0),"")</f>
        <v/>
      </c>
      <c r="F153" s="16" t="s">
        <v>685</v>
      </c>
      <c r="G153" s="40" t="s">
        <v>545</v>
      </c>
      <c r="I153" s="18">
        <v>45390</v>
      </c>
      <c r="J153" s="10">
        <v>1</v>
      </c>
      <c r="K153" s="10">
        <v>175</v>
      </c>
      <c r="L153">
        <v>175</v>
      </c>
      <c r="M153" s="10">
        <v>182</v>
      </c>
      <c r="N153">
        <f t="shared" si="2"/>
        <v>182</v>
      </c>
      <c r="P1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53">
        <f>IF(OR(ТабПозиции[[#This Row],[item]]="По штрихкоду",ТабПозиции[[#This Row],[item]]="Посылка"),ТабПозиции[[#This Row],[deliverySumm]]+ТабПозиции[[#This Row],[deliveryPost]],SUM(N153:P153))</f>
        <v>209</v>
      </c>
      <c r="R153" s="41">
        <v>209</v>
      </c>
      <c r="S153" s="46">
        <f>ТабПозиции[[#This Row],[totalSumm]]-ТабПозиции[[#This Row],[payment]]</f>
        <v>0</v>
      </c>
      <c r="T153" s="18" t="s">
        <v>563</v>
      </c>
      <c r="U153" s="40" t="s">
        <v>545</v>
      </c>
      <c r="V153" s="40" t="s">
        <v>545</v>
      </c>
      <c r="W153" s="40" t="s">
        <v>545</v>
      </c>
      <c r="X153"/>
      <c r="Y153"/>
    </row>
    <row r="154" spans="1:25" hidden="1" x14ac:dyDescent="0.25">
      <c r="A154" s="10">
        <v>49</v>
      </c>
      <c r="B154" s="1">
        <f>IFERROR(VLOOKUP(ТабПозиции[[#This Row],[orderNum]],ТабЗаказы[#Data],MATCH(B$7,ТабЗаказы[#Headers],0),0),"")</f>
        <v>45388</v>
      </c>
      <c r="C154" t="str">
        <f>MONTH(ТабПозиции[[#This Row],[date]])&amp;"/"&amp;YEAR(ТабПозиции[[#This Row],[date]])</f>
        <v>4/2024</v>
      </c>
      <c r="D154" s="1" t="str">
        <f>IFERROR(VLOOKUP(ТабПозиции[[#This Row],[orderNum]],ТабЗаказы[#Data],MATCH(D$7,ТабЗаказы[#Headers],0),0),"")</f>
        <v/>
      </c>
      <c r="E154" s="1" t="str">
        <f>IFERROR(VLOOKUP(ТабПозиции[[#This Row],[orderNum]],ТабЗаказы[#Data],MATCH(E$7,ТабЗаказы[#Headers],0),0),"")</f>
        <v/>
      </c>
      <c r="F154" s="16" t="s">
        <v>686</v>
      </c>
      <c r="G154" s="40" t="s">
        <v>545</v>
      </c>
      <c r="I154" s="18">
        <v>45390</v>
      </c>
      <c r="J154" s="10">
        <v>1</v>
      </c>
      <c r="K154" s="10">
        <v>176</v>
      </c>
      <c r="L154">
        <v>176</v>
      </c>
      <c r="M154" s="10">
        <v>181</v>
      </c>
      <c r="N154">
        <f t="shared" si="2"/>
        <v>181</v>
      </c>
      <c r="P1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54">
        <f>IF(OR(ТабПозиции[[#This Row],[item]]="По штрихкоду",ТабПозиции[[#This Row],[item]]="Посылка"),ТабПозиции[[#This Row],[deliverySumm]]+ТабПозиции[[#This Row],[deliveryPost]],SUM(N154:P154))</f>
        <v>208</v>
      </c>
      <c r="R154" s="41">
        <v>208</v>
      </c>
      <c r="S154" s="46">
        <f>ТабПозиции[[#This Row],[totalSumm]]-ТабПозиции[[#This Row],[payment]]</f>
        <v>0</v>
      </c>
      <c r="T154" s="18" t="s">
        <v>563</v>
      </c>
      <c r="U154" s="40" t="s">
        <v>545</v>
      </c>
      <c r="V154" s="40" t="s">
        <v>545</v>
      </c>
      <c r="W154" s="40" t="s">
        <v>545</v>
      </c>
      <c r="X154"/>
      <c r="Y154"/>
    </row>
    <row r="155" spans="1:25" hidden="1" x14ac:dyDescent="0.25">
      <c r="A155" s="10">
        <v>50</v>
      </c>
      <c r="B155" s="1">
        <f>IFERROR(VLOOKUP(ТабПозиции[[#This Row],[orderNum]],ТабЗаказы[#Data],MATCH(B$7,ТабЗаказы[#Headers],0),0),"")</f>
        <v>45388</v>
      </c>
      <c r="C155" t="str">
        <f>MONTH(ТабПозиции[[#This Row],[date]])&amp;"/"&amp;YEAR(ТабПозиции[[#This Row],[date]])</f>
        <v>4/2024</v>
      </c>
      <c r="D155" s="1" t="str">
        <f>IFERROR(VLOOKUP(ТабПозиции[[#This Row],[orderNum]],ТабЗаказы[#Data],MATCH(D$7,ТабЗаказы[#Headers],0),0),"")</f>
        <v/>
      </c>
      <c r="E155" s="1" t="str">
        <f>IFERROR(VLOOKUP(ТабПозиции[[#This Row],[orderNum]],ТабЗаказы[#Data],MATCH(E$7,ТабЗаказы[#Headers],0),0),"")</f>
        <v/>
      </c>
      <c r="F155" s="16" t="s">
        <v>687</v>
      </c>
      <c r="G155" s="40" t="s">
        <v>545</v>
      </c>
      <c r="I155" s="18">
        <v>45394</v>
      </c>
      <c r="J155" s="10">
        <v>1</v>
      </c>
      <c r="K155" s="10">
        <v>5074</v>
      </c>
      <c r="L155">
        <v>5074</v>
      </c>
      <c r="M155" s="10">
        <v>4255</v>
      </c>
      <c r="N155">
        <f t="shared" si="2"/>
        <v>4255</v>
      </c>
      <c r="O155" s="10">
        <v>819</v>
      </c>
      <c r="P1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Row],[orderNum]],ТабПозиции[orderSumm])&gt;1500),ABS(N155*VLOOKUP(ТабПозиции[[#This Row],[orderNum]],ТабЗаказы[#Data],MATCH("Percent",ТабЗаказы[#Headers],0),0))/100,200/COUNTIF(ТабПозиции[orderNum],ТабПозиции[[#This Row],[orderNum]])),0),"")</f>
        <v>638</v>
      </c>
      <c r="Q155">
        <f>IF(OR(ТабПозиции[[#This Row],[item]]="По штрихкоду",ТабПозиции[[#This Row],[item]]="Посылка"),ТабПозиции[[#This Row],[deliverySumm]]+ТабПозиции[[#This Row],[deliveryPost]],SUM(N155:P155))</f>
        <v>5712</v>
      </c>
      <c r="R155" s="41">
        <v>5712</v>
      </c>
      <c r="S155" s="46">
        <f>ТабПозиции[[#This Row],[totalSumm]]-ТабПозиции[[#This Row],[payment]]</f>
        <v>0</v>
      </c>
      <c r="T155" s="18" t="s">
        <v>615</v>
      </c>
      <c r="U155" s="40" t="s">
        <v>545</v>
      </c>
      <c r="V155" s="40" t="s">
        <v>545</v>
      </c>
      <c r="W155" s="40" t="s">
        <v>545</v>
      </c>
      <c r="X155"/>
      <c r="Y155"/>
    </row>
    <row r="156" spans="1:25" hidden="1" x14ac:dyDescent="0.25">
      <c r="A156" s="10">
        <v>51</v>
      </c>
      <c r="B156" s="1">
        <f>IFERROR(VLOOKUP(ТабПозиции[[#This Row],[orderNum]],ТабЗаказы[#Data],MATCH(B$7,ТабЗаказы[#Headers],0),0),"")</f>
        <v>45388</v>
      </c>
      <c r="C156" t="str">
        <f>MONTH(ТабПозиции[[#This Row],[date]])&amp;"/"&amp;YEAR(ТабПозиции[[#This Row],[date]])</f>
        <v>4/2024</v>
      </c>
      <c r="D156" s="1" t="str">
        <f>IFERROR(VLOOKUP(ТабПозиции[[#This Row],[orderNum]],ТабЗаказы[#Data],MATCH(D$7,ТабЗаказы[#Headers],0),0),"")</f>
        <v/>
      </c>
      <c r="E156" s="1" t="str">
        <f>IFERROR(VLOOKUP(ТабПозиции[[#This Row],[orderNum]],ТабЗаказы[#Data],MATCH(E$7,ТабЗаказы[#Headers],0),0),"")</f>
        <v/>
      </c>
      <c r="F156" s="16" t="s">
        <v>688</v>
      </c>
      <c r="G156" s="40" t="s">
        <v>545</v>
      </c>
      <c r="I156" s="18">
        <v>45392</v>
      </c>
      <c r="J156" s="10">
        <v>1</v>
      </c>
      <c r="K156" s="10">
        <v>2481</v>
      </c>
      <c r="L156">
        <v>2481</v>
      </c>
      <c r="M156" s="10">
        <v>2558</v>
      </c>
      <c r="N156">
        <f t="shared" si="2"/>
        <v>2558</v>
      </c>
      <c r="P1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Row],[orderNum]],ТабПозиции[orderSumm])&gt;1500),ABS(N156*VLOOKUP(ТабПозиции[[#This Row],[orderNum]],ТабЗаказы[#Data],MATCH("Percent",ТабЗаказы[#Headers],0),0))/100,200/COUNTIF(ТабПозиции[orderNum],ТабПозиции[[#This Row],[orderNum]])),0),"")</f>
        <v>256</v>
      </c>
      <c r="Q156">
        <f>IF(OR(ТабПозиции[[#This Row],[item]]="По штрихкоду",ТабПозиции[[#This Row],[item]]="Посылка"),ТабПозиции[[#This Row],[deliverySumm]]+ТабПозиции[[#This Row],[deliveryPost]],SUM(N156:P156))</f>
        <v>2814</v>
      </c>
      <c r="R156" s="41">
        <v>2814</v>
      </c>
      <c r="S156" s="46">
        <f>ТабПозиции[[#This Row],[totalSumm]]-ТабПозиции[[#This Row],[payment]]</f>
        <v>0</v>
      </c>
      <c r="T156" s="18" t="s">
        <v>563</v>
      </c>
      <c r="U156" s="40" t="s">
        <v>545</v>
      </c>
      <c r="V156" s="40" t="s">
        <v>545</v>
      </c>
      <c r="W156" s="40" t="s">
        <v>545</v>
      </c>
      <c r="X156"/>
      <c r="Y156"/>
    </row>
    <row r="157" spans="1:25" hidden="1" x14ac:dyDescent="0.25">
      <c r="A157" s="10">
        <v>51</v>
      </c>
      <c r="B157" s="1">
        <f>IFERROR(VLOOKUP(ТабПозиции[[#This Row],[orderNum]],ТабЗаказы[#Data],MATCH(B$7,ТабЗаказы[#Headers],0),0),"")</f>
        <v>45388</v>
      </c>
      <c r="C157" t="str">
        <f>MONTH(ТабПозиции[[#This Row],[date]])&amp;"/"&amp;YEAR(ТабПозиции[[#This Row],[date]])</f>
        <v>4/2024</v>
      </c>
      <c r="D157" s="1" t="str">
        <f>IFERROR(VLOOKUP(ТабПозиции[[#This Row],[orderNum]],ТабЗаказы[#Data],MATCH(D$7,ТабЗаказы[#Headers],0),0),"")</f>
        <v/>
      </c>
      <c r="E157" s="1" t="str">
        <f>IFERROR(VLOOKUP(ТабПозиции[[#This Row],[orderNum]],ТабЗаказы[#Data],MATCH(E$7,ТабЗаказы[#Headers],0),0),"")</f>
        <v/>
      </c>
      <c r="F157" s="16" t="s">
        <v>689</v>
      </c>
      <c r="G157" s="40" t="s">
        <v>545</v>
      </c>
      <c r="I157" s="18">
        <v>45392</v>
      </c>
      <c r="J157" s="10">
        <v>1</v>
      </c>
      <c r="K157" s="10">
        <v>1312</v>
      </c>
      <c r="L157">
        <v>1312</v>
      </c>
      <c r="M157" s="10">
        <v>1353</v>
      </c>
      <c r="N157">
        <f t="shared" si="2"/>
        <v>1353</v>
      </c>
      <c r="P1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Row],[orderNum]],ТабПозиции[orderSumm])&gt;1500),ABS(N157*VLOOKUP(ТабПозиции[[#This Row],[orderNum]],ТабЗаказы[#Data],MATCH("Percent",ТабЗаказы[#Headers],0),0))/100,200/COUNTIF(ТабПозиции[orderNum],ТабПозиции[[#This Row],[orderNum]])),0),"")</f>
        <v>135</v>
      </c>
      <c r="Q157">
        <f>IF(OR(ТабПозиции[[#This Row],[item]]="По штрихкоду",ТабПозиции[[#This Row],[item]]="Посылка"),ТабПозиции[[#This Row],[deliverySumm]]+ТабПозиции[[#This Row],[deliveryPost]],SUM(N157:P157))</f>
        <v>1488</v>
      </c>
      <c r="R157" s="41">
        <v>1488</v>
      </c>
      <c r="S157" s="46">
        <f>ТабПозиции[[#This Row],[totalSumm]]-ТабПозиции[[#This Row],[payment]]</f>
        <v>0</v>
      </c>
      <c r="T157" s="18" t="s">
        <v>563</v>
      </c>
      <c r="U157" s="40" t="s">
        <v>545</v>
      </c>
      <c r="V157" s="40" t="s">
        <v>545</v>
      </c>
      <c r="W157" s="40" t="s">
        <v>545</v>
      </c>
      <c r="X157"/>
      <c r="Y157"/>
    </row>
    <row r="158" spans="1:25" hidden="1" x14ac:dyDescent="0.25">
      <c r="A158" s="10">
        <v>52</v>
      </c>
      <c r="B158" s="1">
        <f>IFERROR(VLOOKUP(ТабПозиции[[#This Row],[orderNum]],ТабЗаказы[#Data],MATCH(B$7,ТабЗаказы[#Headers],0),0),"")</f>
        <v>45390</v>
      </c>
      <c r="C158" t="str">
        <f>MONTH(ТабПозиции[[#This Row],[date]])&amp;"/"&amp;YEAR(ТабПозиции[[#This Row],[date]])</f>
        <v>4/2024</v>
      </c>
      <c r="D158" s="1" t="str">
        <f>IFERROR(VLOOKUP(ТабПозиции[[#This Row],[orderNum]],ТабЗаказы[#Data],MATCH(D$7,ТабЗаказы[#Headers],0),0),"")</f>
        <v/>
      </c>
      <c r="E158" s="1" t="str">
        <f>IFERROR(VLOOKUP(ТабПозиции[[#This Row],[orderNum]],ТабЗаказы[#Data],MATCH(E$7,ТабЗаказы[#Headers],0),0),"")</f>
        <v/>
      </c>
      <c r="F158" s="19" t="s">
        <v>690</v>
      </c>
      <c r="G158" s="40" t="s">
        <v>545</v>
      </c>
      <c r="I158" s="18">
        <v>45391</v>
      </c>
      <c r="J158" s="10">
        <v>1</v>
      </c>
      <c r="K158" s="10">
        <v>974</v>
      </c>
      <c r="L158">
        <v>974</v>
      </c>
      <c r="M158" s="10">
        <v>1057</v>
      </c>
      <c r="N158">
        <f t="shared" si="2"/>
        <v>1057</v>
      </c>
      <c r="P1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Row],[orderNum]],ТабПозиции[orderSumm])&gt;1500),ABS(N158*VLOOKUP(ТабПозиции[[#This Row],[orderNum]],ТабЗаказы[#Data],MATCH("Percent",ТабЗаказы[#Headers],0),0))/100,200/COUNTIF(ТабПозиции[orderNum],ТабПозиции[[#This Row],[orderNum]])),0),"")</f>
        <v>159</v>
      </c>
      <c r="Q158">
        <f>IF(OR(ТабПозиции[[#This Row],[item]]="По штрихкоду",ТабПозиции[[#This Row],[item]]="Посылка"),ТабПозиции[[#This Row],[deliverySumm]]+ТабПозиции[[#This Row],[deliveryPost]],SUM(N158:P158))</f>
        <v>1216</v>
      </c>
      <c r="R158" s="41">
        <v>1216</v>
      </c>
      <c r="S158" s="46">
        <f>ТабПозиции[[#This Row],[totalSumm]]-ТабПозиции[[#This Row],[payment]]</f>
        <v>0</v>
      </c>
      <c r="T158" s="18" t="s">
        <v>580</v>
      </c>
      <c r="U158" s="40" t="s">
        <v>545</v>
      </c>
      <c r="V158" s="40" t="s">
        <v>545</v>
      </c>
      <c r="W158" s="40" t="s">
        <v>545</v>
      </c>
      <c r="X158"/>
      <c r="Y158"/>
    </row>
    <row r="159" spans="1:25" hidden="1" x14ac:dyDescent="0.25">
      <c r="A159" s="10">
        <v>52</v>
      </c>
      <c r="B159" s="1">
        <f>IFERROR(VLOOKUP(ТабПозиции[[#This Row],[orderNum]],ТабЗаказы[#Data],MATCH(B$7,ТабЗаказы[#Headers],0),0),"")</f>
        <v>45390</v>
      </c>
      <c r="C159" t="str">
        <f>MONTH(ТабПозиции[[#This Row],[date]])&amp;"/"&amp;YEAR(ТабПозиции[[#This Row],[date]])</f>
        <v>4/2024</v>
      </c>
      <c r="D159" s="1" t="str">
        <f>IFERROR(VLOOKUP(ТабПозиции[[#This Row],[orderNum]],ТабЗаказы[#Data],MATCH(D$7,ТабЗаказы[#Headers],0),0),"")</f>
        <v/>
      </c>
      <c r="E159" s="1" t="str">
        <f>IFERROR(VLOOKUP(ТабПозиции[[#This Row],[orderNum]],ТабЗаказы[#Data],MATCH(E$7,ТабЗаказы[#Headers],0),0),"")</f>
        <v/>
      </c>
      <c r="F159" s="19" t="s">
        <v>691</v>
      </c>
      <c r="G159" s="40" t="s">
        <v>545</v>
      </c>
      <c r="I159" s="18">
        <v>45396</v>
      </c>
      <c r="J159" s="10">
        <v>1</v>
      </c>
      <c r="K159" s="10">
        <v>831</v>
      </c>
      <c r="L159">
        <v>831</v>
      </c>
      <c r="M159" s="10">
        <v>906</v>
      </c>
      <c r="N159">
        <f t="shared" si="2"/>
        <v>906</v>
      </c>
      <c r="P1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Row],[orderNum]],ТабПозиции[orderSumm])&gt;1500),ABS(N159*VLOOKUP(ТабПозиции[[#This Row],[orderNum]],ТабЗаказы[#Data],MATCH("Percent",ТабЗаказы[#Headers],0),0))/100,200/COUNTIF(ТабПозиции[orderNum],ТабПозиции[[#This Row],[orderNum]])),0),"")</f>
        <v>136</v>
      </c>
      <c r="Q159">
        <f>IF(OR(ТабПозиции[[#This Row],[item]]="По штрихкоду",ТабПозиции[[#This Row],[item]]="Посылка"),ТабПозиции[[#This Row],[deliverySumm]]+ТабПозиции[[#This Row],[deliveryPost]],SUM(N159:P159))</f>
        <v>1042</v>
      </c>
      <c r="R159" s="41">
        <v>1042</v>
      </c>
      <c r="S159" s="46">
        <f>ТабПозиции[[#This Row],[totalSumm]]-ТабПозиции[[#This Row],[payment]]</f>
        <v>0</v>
      </c>
      <c r="T159" s="18" t="s">
        <v>580</v>
      </c>
      <c r="U159" s="40" t="s">
        <v>545</v>
      </c>
      <c r="V159" s="40" t="s">
        <v>545</v>
      </c>
      <c r="W159" s="40" t="s">
        <v>545</v>
      </c>
      <c r="X159"/>
      <c r="Y159"/>
    </row>
    <row r="160" spans="1:25" hidden="1" x14ac:dyDescent="0.25">
      <c r="A160" s="10">
        <v>53</v>
      </c>
      <c r="B160" s="1">
        <f>IFERROR(VLOOKUP(ТабПозиции[[#This Row],[orderNum]],ТабЗаказы[#Data],MATCH(B$7,ТабЗаказы[#Headers],0),0),"")</f>
        <v>45390</v>
      </c>
      <c r="C160" t="str">
        <f>MONTH(ТабПозиции[[#This Row],[date]])&amp;"/"&amp;YEAR(ТабПозиции[[#This Row],[date]])</f>
        <v>4/2024</v>
      </c>
      <c r="D160" s="1" t="str">
        <f>IFERROR(VLOOKUP(ТабПозиции[[#This Row],[orderNum]],ТабЗаказы[#Data],MATCH(D$7,ТабЗаказы[#Headers],0),0),"")</f>
        <v/>
      </c>
      <c r="E160" s="1" t="str">
        <f>IFERROR(VLOOKUP(ТабПозиции[[#This Row],[orderNum]],ТабЗаказы[#Data],MATCH(E$7,ТабЗаказы[#Headers],0),0),"")</f>
        <v/>
      </c>
      <c r="F160" s="16" t="s">
        <v>692</v>
      </c>
      <c r="G160" s="40" t="s">
        <v>545</v>
      </c>
      <c r="I160" s="18">
        <v>45396</v>
      </c>
      <c r="J160" s="10">
        <v>2</v>
      </c>
      <c r="K160" s="10">
        <v>299</v>
      </c>
      <c r="L160">
        <v>598</v>
      </c>
      <c r="M160" s="10">
        <v>299</v>
      </c>
      <c r="N160">
        <f t="shared" si="2"/>
        <v>598</v>
      </c>
      <c r="O160" s="10">
        <v>119</v>
      </c>
      <c r="P1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Row],[orderNum]],ТабПозиции[orderSumm])&gt;1500),ABS(N160*VLOOKUP(ТабПозиции[[#This Row],[orderNum]],ТабЗаказы[#Data],MATCH("Percent",ТабЗаказы[#Headers],0),0))/100,200/COUNTIF(ТабПозиции[orderNum],ТабПозиции[[#This Row],[orderNum]])),0),"")</f>
        <v>90</v>
      </c>
      <c r="Q160">
        <f>IF(OR(ТабПозиции[[#This Row],[item]]="По штрихкоду",ТабПозиции[[#This Row],[item]]="Посылка"),ТабПозиции[[#This Row],[deliverySumm]]+ТабПозиции[[#This Row],[deliveryPost]],SUM(N160:P160))</f>
        <v>807</v>
      </c>
      <c r="R160" s="41">
        <v>807</v>
      </c>
      <c r="S160" s="46">
        <f>ТабПозиции[[#This Row],[totalSumm]]-ТабПозиции[[#This Row],[payment]]</f>
        <v>0</v>
      </c>
      <c r="T160" s="18" t="s">
        <v>615</v>
      </c>
      <c r="U160" s="40" t="s">
        <v>545</v>
      </c>
      <c r="V160" s="40" t="s">
        <v>545</v>
      </c>
      <c r="W160" s="40" t="s">
        <v>545</v>
      </c>
      <c r="X160"/>
      <c r="Y160"/>
    </row>
    <row r="161" spans="1:25" hidden="1" x14ac:dyDescent="0.25">
      <c r="A161" s="10">
        <v>53</v>
      </c>
      <c r="B161" s="1">
        <f>IFERROR(VLOOKUP(ТабПозиции[[#This Row],[orderNum]],ТабЗаказы[#Data],MATCH(B$7,ТабЗаказы[#Headers],0),0),"")</f>
        <v>45390</v>
      </c>
      <c r="C161" t="str">
        <f>MONTH(ТабПозиции[[#This Row],[date]])&amp;"/"&amp;YEAR(ТабПозиции[[#This Row],[date]])</f>
        <v>4/2024</v>
      </c>
      <c r="D161" s="1" t="str">
        <f>IFERROR(VLOOKUP(ТабПозиции[[#This Row],[orderNum]],ТабЗаказы[#Data],MATCH(D$7,ТабЗаказы[#Headers],0),0),"")</f>
        <v/>
      </c>
      <c r="E161" s="1" t="str">
        <f>IFERROR(VLOOKUP(ТабПозиции[[#This Row],[orderNum]],ТабЗаказы[#Data],MATCH(E$7,ТабЗаказы[#Headers],0),0),"")</f>
        <v/>
      </c>
      <c r="F161" s="10" t="s">
        <v>693</v>
      </c>
      <c r="G161" s="40" t="s">
        <v>545</v>
      </c>
      <c r="I161" s="18"/>
      <c r="J161" s="10">
        <v>1</v>
      </c>
      <c r="K161" s="10">
        <v>4200</v>
      </c>
      <c r="L161">
        <v>4200</v>
      </c>
      <c r="M161" s="10">
        <v>4200</v>
      </c>
      <c r="N161">
        <f t="shared" si="2"/>
        <v>4200</v>
      </c>
      <c r="O161" s="10">
        <v>559</v>
      </c>
      <c r="P1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Row],[orderNum]],ТабПозиции[orderSumm])&gt;1500),ABS(N161*VLOOKUP(ТабПозиции[[#This Row],[orderNum]],ТабЗаказы[#Data],MATCH("Percent",ТабЗаказы[#Headers],0),0))/100,200/COUNTIF(ТабПозиции[orderNum],ТабПозиции[[#This Row],[orderNum]])),0),"")</f>
        <v>630</v>
      </c>
      <c r="Q161">
        <f>IF(OR(ТабПозиции[[#This Row],[item]]="По штрихкоду",ТабПозиции[[#This Row],[item]]="Посылка"),ТабПозиции[[#This Row],[deliverySumm]]+ТабПозиции[[#This Row],[deliveryPost]],SUM(N161:P161))</f>
        <v>5389</v>
      </c>
      <c r="R161" s="41">
        <v>5389</v>
      </c>
      <c r="S161" s="46">
        <f>ТабПозиции[[#This Row],[totalSumm]]-ТабПозиции[[#This Row],[payment]]</f>
        <v>0</v>
      </c>
      <c r="T161" s="18" t="s">
        <v>694</v>
      </c>
      <c r="U161" s="40" t="s">
        <v>545</v>
      </c>
      <c r="V161" s="40" t="s">
        <v>545</v>
      </c>
      <c r="W161" s="40" t="s">
        <v>545</v>
      </c>
      <c r="X161"/>
      <c r="Y161"/>
    </row>
    <row r="162" spans="1:25" hidden="1" x14ac:dyDescent="0.25">
      <c r="A162" s="10">
        <v>54</v>
      </c>
      <c r="B162" s="1">
        <f>IFERROR(VLOOKUP(ТабПозиции[[#This Row],[orderNum]],ТабЗаказы[#Data],MATCH(B$7,ТабЗаказы[#Headers],0),0),"")</f>
        <v>45391</v>
      </c>
      <c r="C162" t="str">
        <f>MONTH(ТабПозиции[[#This Row],[date]])&amp;"/"&amp;YEAR(ТабПозиции[[#This Row],[date]])</f>
        <v>4/2024</v>
      </c>
      <c r="D162" s="1" t="str">
        <f>IFERROR(VLOOKUP(ТабПозиции[[#This Row],[orderNum]],ТабЗаказы[#Data],MATCH(D$7,ТабЗаказы[#Headers],0),0),"")</f>
        <v/>
      </c>
      <c r="E162" s="1" t="str">
        <f>IFERROR(VLOOKUP(ТабПозиции[[#This Row],[orderNum]],ТабЗаказы[#Data],MATCH(E$7,ТабЗаказы[#Headers],0),0),"")</f>
        <v/>
      </c>
      <c r="F162" s="10" t="s">
        <v>695</v>
      </c>
      <c r="G162" s="40" t="s">
        <v>545</v>
      </c>
      <c r="I162" s="18">
        <v>45396</v>
      </c>
      <c r="J162" s="10">
        <v>1</v>
      </c>
      <c r="K162" s="10">
        <v>1249</v>
      </c>
      <c r="L162">
        <v>1249</v>
      </c>
      <c r="M162" s="10">
        <v>1332</v>
      </c>
      <c r="N162">
        <f t="shared" si="2"/>
        <v>1332</v>
      </c>
      <c r="P1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62">
        <f>IF(OR(ТабПозиции[[#This Row],[item]]="По штрихкоду",ТабПозиции[[#This Row],[item]]="Посылка"),ТабПозиции[[#This Row],[deliverySumm]]+ТабПозиции[[#This Row],[deliveryPost]],SUM(N162:P162))</f>
        <v>1532</v>
      </c>
      <c r="R162" s="41">
        <v>1532</v>
      </c>
      <c r="S162" s="46">
        <f>ТабПозиции[[#This Row],[totalSumm]]-ТабПозиции[[#This Row],[payment]]</f>
        <v>0</v>
      </c>
      <c r="T162" s="18" t="s">
        <v>580</v>
      </c>
      <c r="U162" s="40" t="s">
        <v>545</v>
      </c>
      <c r="V162" s="40" t="s">
        <v>545</v>
      </c>
      <c r="W162" s="40" t="s">
        <v>545</v>
      </c>
      <c r="X162"/>
      <c r="Y162"/>
    </row>
    <row r="163" spans="1:25" hidden="1" x14ac:dyDescent="0.25">
      <c r="A163" s="10">
        <v>54</v>
      </c>
      <c r="B163" s="1">
        <f>IFERROR(VLOOKUP(ТабПозиции[[#This Row],[orderNum]],ТабЗаказы[#Data],MATCH(B$7,ТабЗаказы[#Headers],0),0),"")</f>
        <v>45391</v>
      </c>
      <c r="C163" t="str">
        <f>MONTH(ТабПозиции[[#This Row],[date]])&amp;"/"&amp;YEAR(ТабПозиции[[#This Row],[date]])</f>
        <v>4/2024</v>
      </c>
      <c r="D163" s="1" t="str">
        <f>IFERROR(VLOOKUP(ТабПозиции[[#This Row],[orderNum]],ТабЗаказы[#Data],MATCH(D$7,ТабЗаказы[#Headers],0),0),"")</f>
        <v/>
      </c>
      <c r="E163" s="1" t="str">
        <f>IFERROR(VLOOKUP(ТабПозиции[[#This Row],[orderNum]],ТабЗаказы[#Data],MATCH(E$7,ТабЗаказы[#Headers],0),0),"")</f>
        <v/>
      </c>
      <c r="F163" s="16" t="s">
        <v>696</v>
      </c>
      <c r="G163" s="40" t="s">
        <v>545</v>
      </c>
      <c r="I163" s="18">
        <v>45393</v>
      </c>
      <c r="J163" s="10">
        <v>1</v>
      </c>
      <c r="K163" s="10">
        <v>256</v>
      </c>
      <c r="L163">
        <v>256</v>
      </c>
      <c r="M163" s="10">
        <v>311</v>
      </c>
      <c r="N163">
        <f t="shared" si="2"/>
        <v>311</v>
      </c>
      <c r="P1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Row],[orderNum]],ТабПозиции[orderSumm])&gt;1500),ABS(N163*VLOOKUP(ТабПозиции[[#This Row],[orderNum]],ТабЗаказы[#Data],MATCH("Percent",ТабЗаказы[#Headers],0),0))/100,200/COUNTIF(ТабПозиции[orderNum],ТабПозиции[[#This Row],[orderNum]])),0),"")</f>
        <v>47</v>
      </c>
      <c r="Q163">
        <f>IF(OR(ТабПозиции[[#This Row],[item]]="По штрихкоду",ТабПозиции[[#This Row],[item]]="Посылка"),ТабПозиции[[#This Row],[deliverySumm]]+ТабПозиции[[#This Row],[deliveryPost]],SUM(N163:P163))</f>
        <v>358</v>
      </c>
      <c r="R163" s="41">
        <v>358</v>
      </c>
      <c r="S163" s="46">
        <f>ТабПозиции[[#This Row],[totalSumm]]-ТабПозиции[[#This Row],[payment]]</f>
        <v>0</v>
      </c>
      <c r="T163" s="18" t="s">
        <v>580</v>
      </c>
      <c r="U163" s="40" t="s">
        <v>545</v>
      </c>
      <c r="V163" s="40" t="s">
        <v>545</v>
      </c>
      <c r="W163" s="40" t="s">
        <v>545</v>
      </c>
      <c r="X163"/>
      <c r="Y163"/>
    </row>
    <row r="164" spans="1:25" hidden="1" x14ac:dyDescent="0.25">
      <c r="A164" s="10">
        <v>54</v>
      </c>
      <c r="B164" s="1">
        <f>IFERROR(VLOOKUP(ТабПозиции[[#This Row],[orderNum]],ТабЗаказы[#Data],MATCH(B$7,ТабЗаказы[#Headers],0),0),"")</f>
        <v>45391</v>
      </c>
      <c r="C164" t="str">
        <f>MONTH(ТабПозиции[[#This Row],[date]])&amp;"/"&amp;YEAR(ТабПозиции[[#This Row],[date]])</f>
        <v>4/2024</v>
      </c>
      <c r="D164" s="1" t="str">
        <f>IFERROR(VLOOKUP(ТабПозиции[[#This Row],[orderNum]],ТабЗаказы[#Data],MATCH(D$7,ТабЗаказы[#Headers],0),0),"")</f>
        <v/>
      </c>
      <c r="E164" s="1" t="str">
        <f>IFERROR(VLOOKUP(ТабПозиции[[#This Row],[orderNum]],ТабЗаказы[#Data],MATCH(E$7,ТабЗаказы[#Headers],0),0),"")</f>
        <v/>
      </c>
      <c r="F164" s="16" t="s">
        <v>697</v>
      </c>
      <c r="G164" s="40" t="s">
        <v>545</v>
      </c>
      <c r="I164" s="18">
        <v>45394</v>
      </c>
      <c r="J164" s="10">
        <v>1</v>
      </c>
      <c r="K164" s="10">
        <v>261</v>
      </c>
      <c r="L164">
        <v>261</v>
      </c>
      <c r="M164" s="10">
        <v>316</v>
      </c>
      <c r="N164">
        <f t="shared" si="2"/>
        <v>316</v>
      </c>
      <c r="P1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Row],[orderNum]],ТабПозиции[orderSumm])&gt;1500),ABS(N164*VLOOKUP(ТабПозиции[[#This Row],[orderNum]],ТабЗаказы[#Data],MATCH("Percent",ТабЗаказы[#Headers],0),0))/100,200/COUNTIF(ТабПозиции[orderNum],ТабПозиции[[#This Row],[orderNum]])),0),"")</f>
        <v>47</v>
      </c>
      <c r="Q164">
        <f>IF(OR(ТабПозиции[[#This Row],[item]]="По штрихкоду",ТабПозиции[[#This Row],[item]]="Посылка"),ТабПозиции[[#This Row],[deliverySumm]]+ТабПозиции[[#This Row],[deliveryPost]],SUM(N164:P164))</f>
        <v>363</v>
      </c>
      <c r="R164" s="41">
        <v>363</v>
      </c>
      <c r="S164" s="46">
        <f>ТабПозиции[[#This Row],[totalSumm]]-ТабПозиции[[#This Row],[payment]]</f>
        <v>0</v>
      </c>
      <c r="T164" s="18" t="s">
        <v>580</v>
      </c>
      <c r="U164" s="40" t="s">
        <v>545</v>
      </c>
      <c r="V164" s="40" t="s">
        <v>545</v>
      </c>
      <c r="W164" s="40" t="s">
        <v>545</v>
      </c>
      <c r="X164"/>
      <c r="Y164"/>
    </row>
    <row r="165" spans="1:25" hidden="1" x14ac:dyDescent="0.25">
      <c r="A165" s="10">
        <v>54</v>
      </c>
      <c r="B165" s="1">
        <f>IFERROR(VLOOKUP(ТабПозиции[[#This Row],[orderNum]],ТабЗаказы[#Data],MATCH(B$7,ТабЗаказы[#Headers],0),0),"")</f>
        <v>45391</v>
      </c>
      <c r="C165" t="str">
        <f>MONTH(ТабПозиции[[#This Row],[date]])&amp;"/"&amp;YEAR(ТабПозиции[[#This Row],[date]])</f>
        <v>4/2024</v>
      </c>
      <c r="D165" s="1" t="str">
        <f>IFERROR(VLOOKUP(ТабПозиции[[#This Row],[orderNum]],ТабЗаказы[#Data],MATCH(D$7,ТабЗаказы[#Headers],0),0),"")</f>
        <v/>
      </c>
      <c r="E165" s="1" t="str">
        <f>IFERROR(VLOOKUP(ТабПозиции[[#This Row],[orderNum]],ТабЗаказы[#Data],MATCH(E$7,ТабЗаказы[#Headers],0),0),"")</f>
        <v/>
      </c>
      <c r="F165" s="16" t="s">
        <v>698</v>
      </c>
      <c r="G165" s="40" t="s">
        <v>545</v>
      </c>
      <c r="I165" s="18">
        <v>45394</v>
      </c>
      <c r="J165" s="10">
        <v>1</v>
      </c>
      <c r="K165" s="10">
        <v>485</v>
      </c>
      <c r="L165">
        <v>485</v>
      </c>
      <c r="M165" s="10">
        <v>530</v>
      </c>
      <c r="N165">
        <f t="shared" si="2"/>
        <v>530</v>
      </c>
      <c r="P1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Row],[orderNum]],ТабПозиции[orderSumm])&gt;1500),ABS(N165*VLOOKUP(ТабПозиции[[#This Row],[orderNum]],ТабЗаказы[#Data],MATCH("Percent",ТабЗаказы[#Headers],0),0))/100,200/COUNTIF(ТабПозиции[orderNum],ТабПозиции[[#This Row],[orderNum]])),0),"")</f>
        <v>80</v>
      </c>
      <c r="Q165">
        <f>IF(OR(ТабПозиции[[#This Row],[item]]="По штрихкоду",ТабПозиции[[#This Row],[item]]="Посылка"),ТабПозиции[[#This Row],[deliverySumm]]+ТабПозиции[[#This Row],[deliveryPost]],SUM(N165:P165))</f>
        <v>610</v>
      </c>
      <c r="R165" s="41">
        <v>610</v>
      </c>
      <c r="S165" s="46">
        <f>ТабПозиции[[#This Row],[totalSumm]]-ТабПозиции[[#This Row],[payment]]</f>
        <v>0</v>
      </c>
      <c r="T165" s="18" t="s">
        <v>580</v>
      </c>
      <c r="U165" s="40" t="s">
        <v>545</v>
      </c>
      <c r="V165" s="40" t="s">
        <v>545</v>
      </c>
      <c r="W165" s="40" t="s">
        <v>545</v>
      </c>
      <c r="X165"/>
      <c r="Y165"/>
    </row>
    <row r="166" spans="1:25" hidden="1" x14ac:dyDescent="0.25">
      <c r="A166" s="10">
        <v>54</v>
      </c>
      <c r="B166" s="1">
        <f>IFERROR(VLOOKUP(ТабПозиции[[#This Row],[orderNum]],ТабЗаказы[#Data],MATCH(B$7,ТабЗаказы[#Headers],0),0),"")</f>
        <v>45391</v>
      </c>
      <c r="C166" t="str">
        <f>MONTH(ТабПозиции[[#This Row],[date]])&amp;"/"&amp;YEAR(ТабПозиции[[#This Row],[date]])</f>
        <v>4/2024</v>
      </c>
      <c r="D166" s="1" t="str">
        <f>IFERROR(VLOOKUP(ТабПозиции[[#This Row],[orderNum]],ТабЗаказы[#Data],MATCH(D$7,ТабЗаказы[#Headers],0),0),"")</f>
        <v/>
      </c>
      <c r="E166" s="1" t="str">
        <f>IFERROR(VLOOKUP(ТабПозиции[[#This Row],[orderNum]],ТабЗаказы[#Data],MATCH(E$7,ТабЗаказы[#Headers],0),0),"")</f>
        <v/>
      </c>
      <c r="F166" s="16" t="s">
        <v>699</v>
      </c>
      <c r="G166" s="40" t="s">
        <v>545</v>
      </c>
      <c r="I166" s="18">
        <v>45393</v>
      </c>
      <c r="J166" s="10">
        <v>1</v>
      </c>
      <c r="K166" s="10">
        <v>293</v>
      </c>
      <c r="L166">
        <v>293</v>
      </c>
      <c r="M166" s="10">
        <v>299</v>
      </c>
      <c r="N166">
        <f t="shared" si="2"/>
        <v>299</v>
      </c>
      <c r="P1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Row],[orderNum]],ТабПозиции[orderSumm])&gt;1500),ABS(N166*VLOOKUP(ТабПозиции[[#This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66">
        <f>IF(OR(ТабПозиции[[#This Row],[item]]="По штрихкоду",ТабПозиции[[#This Row],[item]]="Посылка"),ТабПозиции[[#This Row],[deliverySumm]]+ТабПозиции[[#This Row],[deliveryPost]],SUM(N166:P166))</f>
        <v>344</v>
      </c>
      <c r="R166" s="41">
        <v>344</v>
      </c>
      <c r="S166" s="46">
        <f>ТабПозиции[[#This Row],[totalSumm]]-ТабПозиции[[#This Row],[payment]]</f>
        <v>0</v>
      </c>
      <c r="T166" s="18" t="s">
        <v>580</v>
      </c>
      <c r="U166" s="40" t="s">
        <v>545</v>
      </c>
      <c r="V166" s="40" t="s">
        <v>545</v>
      </c>
      <c r="W166" s="40" t="s">
        <v>545</v>
      </c>
      <c r="X166"/>
      <c r="Y166"/>
    </row>
    <row r="167" spans="1:25" hidden="1" x14ac:dyDescent="0.25">
      <c r="A167" s="10">
        <v>54</v>
      </c>
      <c r="B167" s="1">
        <f>IFERROR(VLOOKUP(ТабПозиции[[#This Row],[orderNum]],ТабЗаказы[#Data],MATCH(B$7,ТабЗаказы[#Headers],0),0),"")</f>
        <v>45391</v>
      </c>
      <c r="C167" t="str">
        <f>MONTH(ТабПозиции[[#This Row],[date]])&amp;"/"&amp;YEAR(ТабПозиции[[#This Row],[date]])</f>
        <v>4/2024</v>
      </c>
      <c r="D167" s="1" t="str">
        <f>IFERROR(VLOOKUP(ТабПозиции[[#This Row],[orderNum]],ТабЗаказы[#Data],MATCH(D$7,ТабЗаказы[#Headers],0),0),"")</f>
        <v/>
      </c>
      <c r="E167" s="1" t="str">
        <f>IFERROR(VLOOKUP(ТабПозиции[[#This Row],[orderNum]],ТабЗаказы[#Data],MATCH(E$7,ТабЗаказы[#Headers],0),0),"")</f>
        <v/>
      </c>
      <c r="F167" s="16" t="s">
        <v>700</v>
      </c>
      <c r="G167" s="40" t="s">
        <v>545</v>
      </c>
      <c r="I167" s="18">
        <v>45397</v>
      </c>
      <c r="J167" s="10">
        <v>1</v>
      </c>
      <c r="K167" s="10">
        <v>949</v>
      </c>
      <c r="L167">
        <v>949</v>
      </c>
      <c r="M167" s="10">
        <v>1031</v>
      </c>
      <c r="N167">
        <f t="shared" si="2"/>
        <v>1031</v>
      </c>
      <c r="P1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Row],[orderNum]],ТабПозиции[orderSumm])&gt;1500),ABS(N167*VLOOKUP(ТабПозиции[[#This Row],[orderNum]],ТабЗаказы[#Data],MATCH("Percent",ТабЗаказы[#Headers],0),0))/100,200/COUNTIF(ТабПозиции[orderNum],ТабПозиции[[#This Row],[orderNum]])),0),"")</f>
        <v>155</v>
      </c>
      <c r="Q167">
        <f>IF(OR(ТабПозиции[[#This Row],[item]]="По штрихкоду",ТабПозиции[[#This Row],[item]]="Посылка"),ТабПозиции[[#This Row],[deliverySumm]]+ТабПозиции[[#This Row],[deliveryPost]],SUM(N167:P167))</f>
        <v>1186</v>
      </c>
      <c r="R167" s="41">
        <v>1186</v>
      </c>
      <c r="S167" s="46">
        <f>ТабПозиции[[#This Row],[totalSumm]]-ТабПозиции[[#This Row],[payment]]</f>
        <v>0</v>
      </c>
      <c r="T167" s="18" t="s">
        <v>580</v>
      </c>
      <c r="U167" s="40" t="s">
        <v>545</v>
      </c>
      <c r="V167" s="40" t="s">
        <v>545</v>
      </c>
      <c r="W167" s="40" t="s">
        <v>545</v>
      </c>
      <c r="X167"/>
      <c r="Y167"/>
    </row>
    <row r="168" spans="1:25" hidden="1" x14ac:dyDescent="0.25">
      <c r="A168" s="10">
        <v>54</v>
      </c>
      <c r="B168" s="1">
        <f>IFERROR(VLOOKUP(ТабПозиции[[#This Row],[orderNum]],ТабЗаказы[#Data],MATCH(B$7,ТабЗаказы[#Headers],0),0),"")</f>
        <v>45391</v>
      </c>
      <c r="C168" t="str">
        <f>MONTH(ТабПозиции[[#This Row],[date]])&amp;"/"&amp;YEAR(ТабПозиции[[#This Row],[date]])</f>
        <v>4/2024</v>
      </c>
      <c r="D168" s="1" t="str">
        <f>IFERROR(VLOOKUP(ТабПозиции[[#This Row],[orderNum]],ТабЗаказы[#Data],MATCH(D$7,ТабЗаказы[#Headers],0),0),"")</f>
        <v/>
      </c>
      <c r="E168" s="1" t="str">
        <f>IFERROR(VLOOKUP(ТабПозиции[[#This Row],[orderNum]],ТабЗаказы[#Data],MATCH(E$7,ТабЗаказы[#Headers],0),0),"")</f>
        <v/>
      </c>
      <c r="F168" s="16" t="s">
        <v>701</v>
      </c>
      <c r="G168" s="40" t="s">
        <v>545</v>
      </c>
      <c r="I168" s="18">
        <v>45393</v>
      </c>
      <c r="J168" s="10">
        <v>1</v>
      </c>
      <c r="K168" s="10">
        <v>250</v>
      </c>
      <c r="L168">
        <v>250</v>
      </c>
      <c r="M168" s="10">
        <v>255</v>
      </c>
      <c r="N168">
        <f t="shared" si="2"/>
        <v>255</v>
      </c>
      <c r="P1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Row],[orderNum]],ТабПозиции[orderSumm])&gt;1500),ABS(N168*VLOOKUP(ТабПозиции[[#This Row],[orderNum]],ТабЗаказы[#Data],MATCH("Percent",ТабЗаказы[#Headers],0),0))/100,200/COUNTIF(ТабПозиции[orderNum],ТабПозиции[[#This Row],[orderNum]])),0),"")</f>
        <v>38</v>
      </c>
      <c r="Q168">
        <f>IF(OR(ТабПозиции[[#This Row],[item]]="По штрихкоду",ТабПозиции[[#This Row],[item]]="Посылка"),ТабПозиции[[#This Row],[deliverySumm]]+ТабПозиции[[#This Row],[deliveryPost]],SUM(N168:P168))</f>
        <v>293</v>
      </c>
      <c r="R168" s="41">
        <v>293</v>
      </c>
      <c r="S168" s="46">
        <f>ТабПозиции[[#This Row],[totalSumm]]-ТабПозиции[[#This Row],[payment]]</f>
        <v>0</v>
      </c>
      <c r="T168" s="18" t="s">
        <v>580</v>
      </c>
      <c r="U168" s="40" t="s">
        <v>545</v>
      </c>
      <c r="V168" s="40" t="s">
        <v>545</v>
      </c>
      <c r="W168" s="40" t="s">
        <v>545</v>
      </c>
      <c r="X168"/>
      <c r="Y168"/>
    </row>
    <row r="169" spans="1:25" hidden="1" x14ac:dyDescent="0.25">
      <c r="A169" s="10">
        <v>54</v>
      </c>
      <c r="B169" s="1">
        <f>IFERROR(VLOOKUP(ТабПозиции[[#This Row],[orderNum]],ТабЗаказы[#Data],MATCH(B$7,ТабЗаказы[#Headers],0),0),"")</f>
        <v>45391</v>
      </c>
      <c r="C169" t="str">
        <f>MONTH(ТабПозиции[[#This Row],[date]])&amp;"/"&amp;YEAR(ТабПозиции[[#This Row],[date]])</f>
        <v>4/2024</v>
      </c>
      <c r="D169" s="1" t="str">
        <f>IFERROR(VLOOKUP(ТабПозиции[[#This Row],[orderNum]],ТабЗаказы[#Data],MATCH(D$7,ТабЗаказы[#Headers],0),0),"")</f>
        <v/>
      </c>
      <c r="E169" s="1" t="str">
        <f>IFERROR(VLOOKUP(ТабПозиции[[#This Row],[orderNum]],ТабЗаказы[#Data],MATCH(E$7,ТабЗаказы[#Headers],0),0),"")</f>
        <v/>
      </c>
      <c r="F169" s="16" t="s">
        <v>702</v>
      </c>
      <c r="G169" s="40" t="s">
        <v>545</v>
      </c>
      <c r="I169" s="18">
        <v>45393</v>
      </c>
      <c r="J169" s="10">
        <v>1</v>
      </c>
      <c r="K169" s="10">
        <v>293</v>
      </c>
      <c r="L169">
        <v>293</v>
      </c>
      <c r="M169" s="10">
        <v>299</v>
      </c>
      <c r="N169">
        <f t="shared" si="2"/>
        <v>299</v>
      </c>
      <c r="P1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Row],[orderNum]],ТабПозиции[orderSumm])&gt;1500),ABS(N169*VLOOKUP(ТабПозиции[[#This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69">
        <f>IF(OR(ТабПозиции[[#This Row],[item]]="По штрихкоду",ТабПозиции[[#This Row],[item]]="Посылка"),ТабПозиции[[#This Row],[deliverySumm]]+ТабПозиции[[#This Row],[deliveryPost]],SUM(N169:P169))</f>
        <v>344</v>
      </c>
      <c r="R169" s="41">
        <v>344</v>
      </c>
      <c r="S169" s="46">
        <f>ТабПозиции[[#This Row],[totalSumm]]-ТабПозиции[[#This Row],[payment]]</f>
        <v>0</v>
      </c>
      <c r="T169" s="18" t="s">
        <v>580</v>
      </c>
      <c r="U169" s="40" t="s">
        <v>545</v>
      </c>
      <c r="V169" s="40" t="s">
        <v>545</v>
      </c>
      <c r="W169" s="40" t="s">
        <v>545</v>
      </c>
      <c r="X169"/>
      <c r="Y169"/>
    </row>
    <row r="170" spans="1:25" hidden="1" x14ac:dyDescent="0.25">
      <c r="A170" s="10">
        <v>54</v>
      </c>
      <c r="B170" s="1">
        <f>IFERROR(VLOOKUP(ТабПозиции[[#This Row],[orderNum]],ТабЗаказы[#Data],MATCH(B$7,ТабЗаказы[#Headers],0),0),"")</f>
        <v>45391</v>
      </c>
      <c r="C170" t="str">
        <f>MONTH(ТабПозиции[[#This Row],[date]])&amp;"/"&amp;YEAR(ТабПозиции[[#This Row],[date]])</f>
        <v>4/2024</v>
      </c>
      <c r="D170" s="1" t="str">
        <f>IFERROR(VLOOKUP(ТабПозиции[[#This Row],[orderNum]],ТабЗаказы[#Data],MATCH(D$7,ТабЗаказы[#Headers],0),0),"")</f>
        <v/>
      </c>
      <c r="E170" s="1" t="str">
        <f>IFERROR(VLOOKUP(ТабПозиции[[#This Row],[orderNum]],ТабЗаказы[#Data],MATCH(E$7,ТабЗаказы[#Headers],0),0),"")</f>
        <v/>
      </c>
      <c r="F170" s="16" t="s">
        <v>703</v>
      </c>
      <c r="G170" s="40" t="s">
        <v>545</v>
      </c>
      <c r="I170" s="18">
        <v>45393</v>
      </c>
      <c r="J170" s="10">
        <v>1</v>
      </c>
      <c r="K170" s="10">
        <v>220</v>
      </c>
      <c r="L170">
        <v>220</v>
      </c>
      <c r="M170" s="10">
        <v>224</v>
      </c>
      <c r="N170">
        <f t="shared" si="2"/>
        <v>224</v>
      </c>
      <c r="P1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Row],[orderNum]],ТабПозиции[orderSumm])&gt;1500),ABS(N170*VLOOKUP(ТабПозиции[[#This Row],[orderNum]],ТабЗаказы[#Data],MATCH("Percent",ТабЗаказы[#Headers],0),0))/100,200/COUNTIF(ТабПозиции[orderNum],ТабПозиции[[#This Row],[orderNum]])),0),"")</f>
        <v>34</v>
      </c>
      <c r="Q170">
        <f>IF(OR(ТабПозиции[[#This Row],[item]]="По штрихкоду",ТабПозиции[[#This Row],[item]]="Посылка"),ТабПозиции[[#This Row],[deliverySumm]]+ТабПозиции[[#This Row],[deliveryPost]],SUM(N170:P170))</f>
        <v>258</v>
      </c>
      <c r="R170" s="41">
        <v>258</v>
      </c>
      <c r="S170" s="46">
        <f>ТабПозиции[[#This Row],[totalSumm]]-ТабПозиции[[#This Row],[payment]]</f>
        <v>0</v>
      </c>
      <c r="T170" s="18" t="s">
        <v>580</v>
      </c>
      <c r="U170" s="40" t="s">
        <v>545</v>
      </c>
      <c r="V170" s="40" t="s">
        <v>545</v>
      </c>
      <c r="W170" s="40" t="s">
        <v>545</v>
      </c>
      <c r="X170"/>
      <c r="Y170"/>
    </row>
    <row r="171" spans="1:25" hidden="1" x14ac:dyDescent="0.25">
      <c r="A171" s="10">
        <v>54</v>
      </c>
      <c r="B171" s="1">
        <f>IFERROR(VLOOKUP(ТабПозиции[[#This Row],[orderNum]],ТабЗаказы[#Data],MATCH(B$7,ТабЗаказы[#Headers],0),0),"")</f>
        <v>45391</v>
      </c>
      <c r="C171" t="str">
        <f>MONTH(ТабПозиции[[#This Row],[date]])&amp;"/"&amp;YEAR(ТабПозиции[[#This Row],[date]])</f>
        <v>4/2024</v>
      </c>
      <c r="D171" s="1" t="str">
        <f>IFERROR(VLOOKUP(ТабПозиции[[#This Row],[orderNum]],ТабЗаказы[#Data],MATCH(D$7,ТабЗаказы[#Headers],0),0),"")</f>
        <v/>
      </c>
      <c r="E171" s="1" t="str">
        <f>IFERROR(VLOOKUP(ТабПозиции[[#This Row],[orderNum]],ТабЗаказы[#Data],MATCH(E$7,ТабЗаказы[#Headers],0),0),"")</f>
        <v/>
      </c>
      <c r="F171" s="16" t="s">
        <v>704</v>
      </c>
      <c r="G171" s="40" t="s">
        <v>545</v>
      </c>
      <c r="I171" s="18">
        <v>45394</v>
      </c>
      <c r="J171" s="10">
        <v>1</v>
      </c>
      <c r="K171" s="10">
        <v>184</v>
      </c>
      <c r="L171">
        <v>184</v>
      </c>
      <c r="M171" s="10">
        <v>188</v>
      </c>
      <c r="N171">
        <f t="shared" si="2"/>
        <v>188</v>
      </c>
      <c r="P1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Row],[orderNum]],ТабПозиции[orderSumm])&gt;1500),ABS(N171*VLOOKUP(ТабПозиции[[#This Row],[orderNum]],ТабЗаказы[#Data],MATCH("Percent",ТабЗаказы[#Headers],0),0))/100,200/COUNTIF(ТабПозиции[orderNum],ТабПозиции[[#This Row],[orderNum]])),0),"")</f>
        <v>28</v>
      </c>
      <c r="Q171">
        <f>IF(OR(ТабПозиции[[#This Row],[item]]="По штрихкоду",ТабПозиции[[#This Row],[item]]="Посылка"),ТабПозиции[[#This Row],[deliverySumm]]+ТабПозиции[[#This Row],[deliveryPost]],SUM(N171:P171))</f>
        <v>216</v>
      </c>
      <c r="R171" s="41">
        <v>216</v>
      </c>
      <c r="S171" s="46">
        <f>ТабПозиции[[#This Row],[totalSumm]]-ТабПозиции[[#This Row],[payment]]</f>
        <v>0</v>
      </c>
      <c r="T171" s="18" t="s">
        <v>580</v>
      </c>
      <c r="U171" s="40" t="s">
        <v>545</v>
      </c>
      <c r="V171" s="40" t="s">
        <v>545</v>
      </c>
      <c r="W171" s="40" t="s">
        <v>545</v>
      </c>
      <c r="X171"/>
      <c r="Y171"/>
    </row>
    <row r="172" spans="1:25" hidden="1" x14ac:dyDescent="0.25">
      <c r="A172" s="10">
        <v>54</v>
      </c>
      <c r="B172" s="1">
        <f>IFERROR(VLOOKUP(ТабПозиции[[#This Row],[orderNum]],ТабЗаказы[#Data],MATCH(B$7,ТабЗаказы[#Headers],0),0),"")</f>
        <v>45391</v>
      </c>
      <c r="C172" t="str">
        <f>MONTH(ТабПозиции[[#This Row],[date]])&amp;"/"&amp;YEAR(ТабПозиции[[#This Row],[date]])</f>
        <v>4/2024</v>
      </c>
      <c r="D172" s="1" t="str">
        <f>IFERROR(VLOOKUP(ТабПозиции[[#This Row],[orderNum]],ТабЗаказы[#Data],MATCH(D$7,ТабЗаказы[#Headers],0),0),"")</f>
        <v/>
      </c>
      <c r="E172" s="1" t="str">
        <f>IFERROR(VLOOKUP(ТабПозиции[[#This Row],[orderNum]],ТабЗаказы[#Data],MATCH(E$7,ТабЗаказы[#Headers],0),0),"")</f>
        <v/>
      </c>
      <c r="F172" s="16" t="s">
        <v>705</v>
      </c>
      <c r="G172" s="40" t="s">
        <v>545</v>
      </c>
      <c r="I172" s="18">
        <v>45394</v>
      </c>
      <c r="J172" s="10">
        <v>1</v>
      </c>
      <c r="K172" s="10">
        <v>770</v>
      </c>
      <c r="L172">
        <v>770</v>
      </c>
      <c r="M172" s="10">
        <v>794</v>
      </c>
      <c r="N172">
        <f t="shared" si="2"/>
        <v>794</v>
      </c>
      <c r="P1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Row],[orderNum]],ТабПозиции[orderSumm])&gt;1500),ABS(N172*VLOOKUP(ТабПозиции[[#This Row],[orderNum]],ТабЗаказы[#Data],MATCH("Percent",ТабЗаказы[#Headers],0),0))/100,200/COUNTIF(ТабПозиции[orderNum],ТабПозиции[[#This Row],[orderNum]])),0),"")</f>
        <v>119</v>
      </c>
      <c r="Q172">
        <f>IF(OR(ТабПозиции[[#This Row],[item]]="По штрихкоду",ТабПозиции[[#This Row],[item]]="Посылка"),ТабПозиции[[#This Row],[deliverySumm]]+ТабПозиции[[#This Row],[deliveryPost]],SUM(N172:P172))</f>
        <v>913</v>
      </c>
      <c r="R172" s="41">
        <v>913</v>
      </c>
      <c r="S172" s="46">
        <f>ТабПозиции[[#This Row],[totalSumm]]-ТабПозиции[[#This Row],[payment]]</f>
        <v>0</v>
      </c>
      <c r="T172" s="18" t="s">
        <v>706</v>
      </c>
      <c r="U172" s="40" t="s">
        <v>545</v>
      </c>
      <c r="V172" s="40" t="s">
        <v>545</v>
      </c>
      <c r="W172" s="40" t="s">
        <v>545</v>
      </c>
      <c r="X172"/>
      <c r="Y172"/>
    </row>
    <row r="173" spans="1:25" hidden="1" x14ac:dyDescent="0.25">
      <c r="A173" s="10">
        <v>55</v>
      </c>
      <c r="B173" s="1">
        <f>IFERROR(VLOOKUP(ТабПозиции[[#This Row],[orderNum]],ТабЗаказы[#Data],MATCH(B$7,ТабЗаказы[#Headers],0),0),"")</f>
        <v>45391</v>
      </c>
      <c r="C173" t="str">
        <f>MONTH(ТабПозиции[[#This Row],[date]])&amp;"/"&amp;YEAR(ТабПозиции[[#This Row],[date]])</f>
        <v>4/2024</v>
      </c>
      <c r="D173" s="1" t="str">
        <f>IFERROR(VLOOKUP(ТабПозиции[[#This Row],[orderNum]],ТабЗаказы[#Data],MATCH(D$7,ТабЗаказы[#Headers],0),0),"")</f>
        <v/>
      </c>
      <c r="E173" s="1" t="str">
        <f>IFERROR(VLOOKUP(ТабПозиции[[#This Row],[orderNum]],ТабЗаказы[#Data],MATCH(E$7,ТабЗаказы[#Headers],0),0),"")</f>
        <v/>
      </c>
      <c r="F173" s="10" t="s">
        <v>32</v>
      </c>
      <c r="G173" s="40" t="s">
        <v>545</v>
      </c>
      <c r="I173" s="18">
        <v>45391</v>
      </c>
      <c r="J173" s="10">
        <v>1</v>
      </c>
      <c r="K173" s="10">
        <v>0</v>
      </c>
      <c r="L173">
        <v>0</v>
      </c>
      <c r="M173" s="10">
        <v>2700</v>
      </c>
      <c r="N173">
        <f t="shared" si="2"/>
        <v>2700</v>
      </c>
      <c r="P1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Row],[orderNum]],ТабПозиции[orderSumm])&gt;1500),ABS(N173*VLOOKUP(ТабПозиции[[#This Row],[orderNum]],ТабЗаказы[#Data],MATCH("Percent",ТабЗаказы[#Headers],0),0))/100,200/COUNTIF(ТабПозиции[orderNum],ТабПозиции[[#This Row],[orderNum]])),0),"")</f>
        <v>405</v>
      </c>
      <c r="Q173">
        <f>IF(OR(ТабПозиции[[#This Row],[item]]="По штрихкоду",ТабПозиции[[#This Row],[item]]="Посылка"),ТабПозиции[[#This Row],[deliverySumm]]+ТабПозиции[[#This Row],[deliveryPost]],SUM(N173:P173))</f>
        <v>405</v>
      </c>
      <c r="R173" s="41">
        <v>405</v>
      </c>
      <c r="S173" s="46">
        <f>ТабПозиции[[#This Row],[totalSumm]]-ТабПозиции[[#This Row],[payment]]</f>
        <v>0</v>
      </c>
      <c r="T173" s="18" t="s">
        <v>580</v>
      </c>
      <c r="U173" s="40" t="s">
        <v>545</v>
      </c>
      <c r="V173" s="40" t="s">
        <v>545</v>
      </c>
      <c r="W173" s="40" t="s">
        <v>545</v>
      </c>
      <c r="X173"/>
      <c r="Y173"/>
    </row>
    <row r="174" spans="1:25" hidden="1" x14ac:dyDescent="0.25">
      <c r="A174" s="10">
        <v>56</v>
      </c>
      <c r="B174" s="1">
        <f>IFERROR(VLOOKUP(ТабПозиции[[#This Row],[orderNum]],ТабЗаказы[#Data],MATCH(B$7,ТабЗаказы[#Headers],0),0),"")</f>
        <v>45392</v>
      </c>
      <c r="C174" t="str">
        <f>MONTH(ТабПозиции[[#This Row],[date]])&amp;"/"&amp;YEAR(ТабПозиции[[#This Row],[date]])</f>
        <v>4/2024</v>
      </c>
      <c r="D174" s="1" t="str">
        <f>IFERROR(VLOOKUP(ТабПозиции[[#This Row],[orderNum]],ТабЗаказы[#Data],MATCH(D$7,ТабЗаказы[#Headers],0),0),"")</f>
        <v/>
      </c>
      <c r="E174" s="1" t="str">
        <f>IFERROR(VLOOKUP(ТабПозиции[[#This Row],[orderNum]],ТабЗаказы[#Data],MATCH(E$7,ТабЗаказы[#Headers],0),0),"")</f>
        <v/>
      </c>
      <c r="F174" s="16" t="s">
        <v>654</v>
      </c>
      <c r="G174" s="40" t="s">
        <v>545</v>
      </c>
      <c r="I174" s="18">
        <v>45400</v>
      </c>
      <c r="J174" s="10">
        <v>1</v>
      </c>
      <c r="K174" s="10">
        <v>1213</v>
      </c>
      <c r="L174">
        <v>1213</v>
      </c>
      <c r="M174" s="10">
        <v>1340</v>
      </c>
      <c r="N174">
        <f t="shared" si="2"/>
        <v>1340</v>
      </c>
      <c r="P1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Row],[orderNum]],ТабПозиции[orderSumm])&gt;1500),ABS(N174*VLOOKUP(ТабПозиции[[#This Row],[orderNum]],ТабЗаказы[#Data],MATCH("Percent",ТабЗаказы[#Headers],0),0))/100,200/COUNTIF(ТабПозиции[orderNum],ТабПозиции[[#This Row],[orderNum]])),0),"")</f>
        <v>201</v>
      </c>
      <c r="Q174">
        <f>IF(OR(ТабПозиции[[#This Row],[item]]="По штрихкоду",ТабПозиции[[#This Row],[item]]="Посылка"),ТабПозиции[[#This Row],[deliverySumm]]+ТабПозиции[[#This Row],[deliveryPost]],SUM(N174:P174))</f>
        <v>1541</v>
      </c>
      <c r="R174" s="41">
        <v>1541</v>
      </c>
      <c r="S174" s="46">
        <f>ТабПозиции[[#This Row],[totalSumm]]-ТабПозиции[[#This Row],[payment]]</f>
        <v>0</v>
      </c>
      <c r="T174" s="18" t="s">
        <v>580</v>
      </c>
      <c r="U174" s="40" t="s">
        <v>545</v>
      </c>
      <c r="V174" s="40" t="s">
        <v>545</v>
      </c>
      <c r="W174" s="40" t="s">
        <v>545</v>
      </c>
      <c r="X174"/>
      <c r="Y174"/>
    </row>
    <row r="175" spans="1:25" hidden="1" x14ac:dyDescent="0.25">
      <c r="A175" s="10">
        <v>56</v>
      </c>
      <c r="B175" s="1">
        <f>IFERROR(VLOOKUP(ТабПозиции[[#This Row],[orderNum]],ТабЗаказы[#Data],MATCH(B$7,ТабЗаказы[#Headers],0),0),"")</f>
        <v>45392</v>
      </c>
      <c r="C175" t="str">
        <f>MONTH(ТабПозиции[[#This Row],[date]])&amp;"/"&amp;YEAR(ТабПозиции[[#This Row],[date]])</f>
        <v>4/2024</v>
      </c>
      <c r="D175" s="1" t="str">
        <f>IFERROR(VLOOKUP(ТабПозиции[[#This Row],[orderNum]],ТабЗаказы[#Data],MATCH(D$7,ТабЗаказы[#Headers],0),0),"")</f>
        <v/>
      </c>
      <c r="E175" s="1" t="str">
        <f>IFERROR(VLOOKUP(ТабПозиции[[#This Row],[orderNum]],ТабЗаказы[#Data],MATCH(E$7,ТабЗаказы[#Headers],0),0),"")</f>
        <v/>
      </c>
      <c r="F175" s="16" t="s">
        <v>707</v>
      </c>
      <c r="G175" s="40" t="s">
        <v>545</v>
      </c>
      <c r="I175" s="18">
        <v>45400</v>
      </c>
      <c r="J175" s="10">
        <v>1</v>
      </c>
      <c r="K175" s="10">
        <v>758</v>
      </c>
      <c r="L175">
        <v>758</v>
      </c>
      <c r="M175" s="10">
        <v>758</v>
      </c>
      <c r="N175">
        <f t="shared" si="2"/>
        <v>758</v>
      </c>
      <c r="P1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Row],[orderNum]],ТабПозиции[orderSumm])&gt;1500),ABS(N175*VLOOKUP(ТабПозиции[[#This Row],[orderNum]],ТабЗаказы[#Data],MATCH("Percent",ТабЗаказы[#Headers],0),0))/100,200/COUNTIF(ТабПозиции[orderNum],ТабПозиции[[#This Row],[orderNum]])),0),"")</f>
        <v>114</v>
      </c>
      <c r="Q175">
        <f>IF(OR(ТабПозиции[[#This Row],[item]]="По штрихкоду",ТабПозиции[[#This Row],[item]]="Посылка"),ТабПозиции[[#This Row],[deliverySumm]]+ТабПозиции[[#This Row],[deliveryPost]],SUM(N175:P175))</f>
        <v>872</v>
      </c>
      <c r="R175" s="41">
        <v>872</v>
      </c>
      <c r="S175" s="46">
        <f>ТабПозиции[[#This Row],[totalSumm]]-ТабПозиции[[#This Row],[payment]]</f>
        <v>0</v>
      </c>
      <c r="T175" s="18" t="s">
        <v>580</v>
      </c>
      <c r="U175" s="40" t="s">
        <v>545</v>
      </c>
      <c r="V175" s="40" t="s">
        <v>545</v>
      </c>
      <c r="W175" s="40" t="s">
        <v>545</v>
      </c>
      <c r="X175"/>
      <c r="Y175"/>
    </row>
    <row r="176" spans="1:25" hidden="1" x14ac:dyDescent="0.25">
      <c r="A176" s="10">
        <v>56</v>
      </c>
      <c r="B176" s="1">
        <f>IFERROR(VLOOKUP(ТабПозиции[[#This Row],[orderNum]],ТабЗаказы[#Data],MATCH(B$7,ТабЗаказы[#Headers],0),0),"")</f>
        <v>45392</v>
      </c>
      <c r="C176" t="str">
        <f>MONTH(ТабПозиции[[#This Row],[date]])&amp;"/"&amp;YEAR(ТабПозиции[[#This Row],[date]])</f>
        <v>4/2024</v>
      </c>
      <c r="D176" s="1" t="str">
        <f>IFERROR(VLOOKUP(ТабПозиции[[#This Row],[orderNum]],ТабЗаказы[#Data],MATCH(D$7,ТабЗаказы[#Headers],0),0),"")</f>
        <v/>
      </c>
      <c r="E176" s="1" t="str">
        <f>IFERROR(VLOOKUP(ТабПозиции[[#This Row],[orderNum]],ТабЗаказы[#Data],MATCH(E$7,ТабЗаказы[#Headers],0),0),"")</f>
        <v/>
      </c>
      <c r="F176" s="16" t="s">
        <v>708</v>
      </c>
      <c r="G176" s="40" t="s">
        <v>545</v>
      </c>
      <c r="I176" s="18">
        <v>45398</v>
      </c>
      <c r="J176" s="10">
        <v>1</v>
      </c>
      <c r="K176" s="10">
        <v>288</v>
      </c>
      <c r="L176">
        <v>288</v>
      </c>
      <c r="M176" s="10">
        <v>294</v>
      </c>
      <c r="N176">
        <f t="shared" si="2"/>
        <v>294</v>
      </c>
      <c r="P1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Row],[orderNum]],ТабПозиции[orderSumm])&gt;1500),ABS(N176*VLOOKUP(ТабПозиции[[#This Row],[orderNum]],ТабЗаказы[#Data],MATCH("Percent",ТабЗаказы[#Headers],0),0))/100,200/COUNTIF(ТабПозиции[orderNum],ТабПозиции[[#This Row],[orderNum]])),0),"")</f>
        <v>44</v>
      </c>
      <c r="Q176">
        <f>IF(OR(ТабПозиции[[#This Row],[item]]="По штрихкоду",ТабПозиции[[#This Row],[item]]="Посылка"),ТабПозиции[[#This Row],[deliverySumm]]+ТабПозиции[[#This Row],[deliveryPost]],SUM(N176:P176))</f>
        <v>338</v>
      </c>
      <c r="R176" s="41">
        <v>338</v>
      </c>
      <c r="S176" s="46">
        <f>ТабПозиции[[#This Row],[totalSumm]]-ТабПозиции[[#This Row],[payment]]</f>
        <v>0</v>
      </c>
      <c r="T176" s="18" t="s">
        <v>580</v>
      </c>
      <c r="U176" s="40" t="s">
        <v>545</v>
      </c>
      <c r="V176" s="40" t="s">
        <v>545</v>
      </c>
      <c r="W176" s="40" t="s">
        <v>545</v>
      </c>
      <c r="X176"/>
      <c r="Y176"/>
    </row>
    <row r="177" spans="1:25" hidden="1" x14ac:dyDescent="0.25">
      <c r="A177" s="10">
        <v>56</v>
      </c>
      <c r="B177" s="1">
        <f>IFERROR(VLOOKUP(ТабПозиции[[#This Row],[orderNum]],ТабЗаказы[#Data],MATCH(B$7,ТабЗаказы[#Headers],0),0),"")</f>
        <v>45392</v>
      </c>
      <c r="C177" t="str">
        <f>MONTH(ТабПозиции[[#This Row],[date]])&amp;"/"&amp;YEAR(ТабПозиции[[#This Row],[date]])</f>
        <v>4/2024</v>
      </c>
      <c r="D177" s="1" t="str">
        <f>IFERROR(VLOOKUP(ТабПозиции[[#This Row],[orderNum]],ТабЗаказы[#Data],MATCH(D$7,ТабЗаказы[#Headers],0),0),"")</f>
        <v/>
      </c>
      <c r="E177" s="1" t="str">
        <f>IFERROR(VLOOKUP(ТабПозиции[[#This Row],[orderNum]],ТабЗаказы[#Data],MATCH(E$7,ТабЗаказы[#Headers],0),0),"")</f>
        <v/>
      </c>
      <c r="F177" s="16" t="s">
        <v>709</v>
      </c>
      <c r="G177" s="40" t="s">
        <v>545</v>
      </c>
      <c r="I177" s="18">
        <v>45401</v>
      </c>
      <c r="J177" s="10">
        <v>1</v>
      </c>
      <c r="K177" s="10">
        <v>612</v>
      </c>
      <c r="L177">
        <v>612</v>
      </c>
      <c r="M177" s="10">
        <v>612</v>
      </c>
      <c r="N177">
        <f t="shared" si="2"/>
        <v>612</v>
      </c>
      <c r="P1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Row],[orderNum]],ТабПозиции[orderSumm])&gt;1500),ABS(N177*VLOOKUP(ТабПозиции[[#This Row],[orderNum]],ТабЗаказы[#Data],MATCH("Percent",ТабЗаказы[#Headers],0),0))/100,200/COUNTIF(ТабПозиции[orderNum],ТабПозиции[[#This Row],[orderNum]])),0),"")</f>
        <v>92</v>
      </c>
      <c r="Q177">
        <f>IF(OR(ТабПозиции[[#This Row],[item]]="По штрихкоду",ТабПозиции[[#This Row],[item]]="Посылка"),ТабПозиции[[#This Row],[deliverySumm]]+ТабПозиции[[#This Row],[deliveryPost]],SUM(N177:P177))</f>
        <v>704</v>
      </c>
      <c r="R177" s="41">
        <v>704</v>
      </c>
      <c r="S177" s="46">
        <f>ТабПозиции[[#This Row],[totalSumm]]-ТабПозиции[[#This Row],[payment]]</f>
        <v>0</v>
      </c>
      <c r="T177" s="18" t="s">
        <v>580</v>
      </c>
      <c r="U177" s="40" t="s">
        <v>545</v>
      </c>
      <c r="V177" s="40" t="s">
        <v>545</v>
      </c>
      <c r="W177" s="40" t="s">
        <v>545</v>
      </c>
      <c r="X177"/>
      <c r="Y177"/>
    </row>
    <row r="178" spans="1:25" hidden="1" x14ac:dyDescent="0.25">
      <c r="A178" s="10">
        <v>56</v>
      </c>
      <c r="B178" s="1">
        <f>IFERROR(VLOOKUP(ТабПозиции[[#This Row],[orderNum]],ТабЗаказы[#Data],MATCH(B$7,ТабЗаказы[#Headers],0),0),"")</f>
        <v>45392</v>
      </c>
      <c r="C178" t="str">
        <f>MONTH(ТабПозиции[[#This Row],[date]])&amp;"/"&amp;YEAR(ТабПозиции[[#This Row],[date]])</f>
        <v>4/2024</v>
      </c>
      <c r="D178" s="1" t="str">
        <f>IFERROR(VLOOKUP(ТабПозиции[[#This Row],[orderNum]],ТабЗаказы[#Data],MATCH(D$7,ТабЗаказы[#Headers],0),0),"")</f>
        <v/>
      </c>
      <c r="E178" s="1" t="str">
        <f>IFERROR(VLOOKUP(ТабПозиции[[#This Row],[orderNum]],ТабЗаказы[#Data],MATCH(E$7,ТабЗаказы[#Headers],0),0),"")</f>
        <v/>
      </c>
      <c r="F178" s="16" t="s">
        <v>710</v>
      </c>
      <c r="G178" s="40" t="s">
        <v>545</v>
      </c>
      <c r="I178" s="18">
        <v>45396</v>
      </c>
      <c r="J178" s="10">
        <v>1</v>
      </c>
      <c r="K178" s="10">
        <v>2888</v>
      </c>
      <c r="L178">
        <v>2888</v>
      </c>
      <c r="M178" s="10">
        <v>3145</v>
      </c>
      <c r="N178">
        <f t="shared" si="2"/>
        <v>3145</v>
      </c>
      <c r="P1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Row],[orderNum]],ТабПозиции[orderSumm])&gt;1500),ABS(N178*VLOOKUP(ТабПозиции[[#This Row],[orderNum]],ТабЗаказы[#Data],MATCH("Percent",ТабЗаказы[#Headers],0),0))/100,200/COUNTIF(ТабПозиции[orderNum],ТабПозиции[[#This Row],[orderNum]])),0),"")</f>
        <v>472</v>
      </c>
      <c r="Q178">
        <f>IF(OR(ТабПозиции[[#This Row],[item]]="По штрихкоду",ТабПозиции[[#This Row],[item]]="Посылка"),ТабПозиции[[#This Row],[deliverySumm]]+ТабПозиции[[#This Row],[deliveryPost]],SUM(N178:P178))</f>
        <v>3617</v>
      </c>
      <c r="R178" s="41">
        <v>3617</v>
      </c>
      <c r="S178" s="46">
        <f>ТабПозиции[[#This Row],[totalSumm]]-ТабПозиции[[#This Row],[payment]]</f>
        <v>0</v>
      </c>
      <c r="T178" s="18" t="s">
        <v>580</v>
      </c>
      <c r="U178" s="40" t="s">
        <v>545</v>
      </c>
      <c r="V178" s="40" t="s">
        <v>545</v>
      </c>
      <c r="W178" s="40" t="s">
        <v>545</v>
      </c>
      <c r="X178" s="3"/>
      <c r="Y178"/>
    </row>
    <row r="179" spans="1:25" hidden="1" x14ac:dyDescent="0.25">
      <c r="A179" s="10">
        <v>56</v>
      </c>
      <c r="B179" s="1">
        <f>IFERROR(VLOOKUP(ТабПозиции[[#This Row],[orderNum]],ТабЗаказы[#Data],MATCH(B$7,ТабЗаказы[#Headers],0),0),"")</f>
        <v>45392</v>
      </c>
      <c r="C179" t="str">
        <f>MONTH(ТабПозиции[[#This Row],[date]])&amp;"/"&amp;YEAR(ТабПозиции[[#This Row],[date]])</f>
        <v>4/2024</v>
      </c>
      <c r="D179" s="1" t="str">
        <f>IFERROR(VLOOKUP(ТабПозиции[[#This Row],[orderNum]],ТабЗаказы[#Data],MATCH(D$7,ТабЗаказы[#Headers],0),0),"")</f>
        <v/>
      </c>
      <c r="E179" s="1" t="str">
        <f>IFERROR(VLOOKUP(ТабПозиции[[#This Row],[orderNum]],ТабЗаказы[#Data],MATCH(E$7,ТабЗаказы[#Headers],0),0),"")</f>
        <v/>
      </c>
      <c r="F179" s="16" t="s">
        <v>711</v>
      </c>
      <c r="G179" s="40" t="s">
        <v>545</v>
      </c>
      <c r="I179" s="18"/>
      <c r="J179" s="10">
        <v>1</v>
      </c>
      <c r="K179" s="10">
        <v>52</v>
      </c>
      <c r="L179">
        <v>52</v>
      </c>
      <c r="M179" s="10">
        <v>52</v>
      </c>
      <c r="N179">
        <f t="shared" si="2"/>
        <v>52</v>
      </c>
      <c r="O179" s="10">
        <v>237.08</v>
      </c>
      <c r="P1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Row],[orderNum]],ТабПозиции[orderSumm])&gt;1500),ABS(N179*VLOOKUP(ТабПозиции[[#This Row],[orderNum]],ТабЗаказы[#Data],MATCH("Percent",ТабЗаказы[#Headers],0),0))/100,200/COUNTIF(ТабПозиции[orderNum],ТабПозиции[[#This Row],[orderNum]])),0),"")</f>
        <v>8</v>
      </c>
      <c r="Q179">
        <f>IF(OR(ТабПозиции[[#This Row],[item]]="По штрихкоду",ТабПозиции[[#This Row],[item]]="Посылка"),ТабПозиции[[#This Row],[deliverySumm]]+ТабПозиции[[#This Row],[deliveryPost]],SUM(N179:P179))</f>
        <v>297.08000000000004</v>
      </c>
      <c r="R179" s="41">
        <v>297.08000000000004</v>
      </c>
      <c r="S179" s="46">
        <f>ТабПозиции[[#This Row],[totalSumm]]-ТабПозиции[[#This Row],[payment]]</f>
        <v>0</v>
      </c>
      <c r="T179" s="18" t="s">
        <v>584</v>
      </c>
      <c r="U179" s="40" t="s">
        <v>545</v>
      </c>
      <c r="V179" s="40" t="s">
        <v>545</v>
      </c>
      <c r="W179" s="40" t="s">
        <v>545</v>
      </c>
      <c r="X179" s="3"/>
      <c r="Y179"/>
    </row>
    <row r="180" spans="1:25" hidden="1" x14ac:dyDescent="0.25">
      <c r="A180" s="10">
        <v>56</v>
      </c>
      <c r="B180" s="1">
        <f>IFERROR(VLOOKUP(ТабПозиции[[#This Row],[orderNum]],ТабЗаказы[#Data],MATCH(B$7,ТабЗаказы[#Headers],0),0),"")</f>
        <v>45392</v>
      </c>
      <c r="C180" t="str">
        <f>MONTH(ТабПозиции[[#This Row],[date]])&amp;"/"&amp;YEAR(ТабПозиции[[#This Row],[date]])</f>
        <v>4/2024</v>
      </c>
      <c r="D180" s="1" t="str">
        <f>IFERROR(VLOOKUP(ТабПозиции[[#This Row],[orderNum]],ТабЗаказы[#Data],MATCH(D$7,ТабЗаказы[#Headers],0),0),"")</f>
        <v/>
      </c>
      <c r="E180" s="1" t="str">
        <f>IFERROR(VLOOKUP(ТабПозиции[[#This Row],[orderNum]],ТабЗаказы[#Data],MATCH(E$7,ТабЗаказы[#Headers],0),0),"")</f>
        <v/>
      </c>
      <c r="F180" s="16" t="s">
        <v>712</v>
      </c>
      <c r="G180" s="40" t="s">
        <v>545</v>
      </c>
      <c r="I180" s="18"/>
      <c r="J180" s="10">
        <v>1</v>
      </c>
      <c r="K180" s="10">
        <v>52</v>
      </c>
      <c r="L180">
        <v>52</v>
      </c>
      <c r="M180" s="10">
        <v>52</v>
      </c>
      <c r="N180">
        <f t="shared" si="2"/>
        <v>52</v>
      </c>
      <c r="O180" s="10">
        <v>237.08</v>
      </c>
      <c r="P1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Row],[orderNum]],ТабПозиции[orderSumm])&gt;1500),ABS(N180*VLOOKUP(ТабПозиции[[#This Row],[orderNum]],ТабЗаказы[#Data],MATCH("Percent",ТабЗаказы[#Headers],0),0))/100,200/COUNTIF(ТабПозиции[orderNum],ТабПозиции[[#This Row],[orderNum]])),0),"")</f>
        <v>8</v>
      </c>
      <c r="Q180">
        <f>IF(OR(ТабПозиции[[#This Row],[item]]="По штрихкоду",ТабПозиции[[#This Row],[item]]="Посылка"),ТабПозиции[[#This Row],[deliverySumm]]+ТабПозиции[[#This Row],[deliveryPost]],SUM(N180:P180))</f>
        <v>297.08000000000004</v>
      </c>
      <c r="R180" s="41">
        <v>297.08000000000004</v>
      </c>
      <c r="S180" s="46">
        <f>ТабПозиции[[#This Row],[totalSumm]]-ТабПозиции[[#This Row],[payment]]</f>
        <v>0</v>
      </c>
      <c r="T180" s="18" t="s">
        <v>584</v>
      </c>
      <c r="U180" s="40" t="s">
        <v>545</v>
      </c>
      <c r="V180" s="40" t="s">
        <v>545</v>
      </c>
      <c r="W180" s="40" t="s">
        <v>545</v>
      </c>
      <c r="X180" s="3"/>
      <c r="Y180"/>
    </row>
    <row r="181" spans="1:25" hidden="1" x14ac:dyDescent="0.25">
      <c r="A181" s="10">
        <v>57</v>
      </c>
      <c r="B181" s="1">
        <f>IFERROR(VLOOKUP(ТабПозиции[[#This Row],[orderNum]],ТабЗаказы[#Data],MATCH(B$7,ТабЗаказы[#Headers],0),0),"")</f>
        <v>45392</v>
      </c>
      <c r="C181" t="str">
        <f>MONTH(ТабПозиции[[#This Row],[date]])&amp;"/"&amp;YEAR(ТабПозиции[[#This Row],[date]])</f>
        <v>4/2024</v>
      </c>
      <c r="D181" s="1" t="str">
        <f>IFERROR(VLOOKUP(ТабПозиции[[#This Row],[orderNum]],ТабЗаказы[#Data],MATCH(D$7,ТабЗаказы[#Headers],0),0),"")</f>
        <v/>
      </c>
      <c r="E181" s="1" t="str">
        <f>IFERROR(VLOOKUP(ТабПозиции[[#This Row],[orderNum]],ТабЗаказы[#Data],MATCH(E$7,ТабЗаказы[#Headers],0),0),"")</f>
        <v/>
      </c>
      <c r="F181" s="16" t="s">
        <v>713</v>
      </c>
      <c r="G181" s="40" t="s">
        <v>545</v>
      </c>
      <c r="I181" s="18">
        <v>45394</v>
      </c>
      <c r="J181" s="10">
        <v>1</v>
      </c>
      <c r="K181" s="10">
        <v>4948</v>
      </c>
      <c r="L181">
        <v>4948</v>
      </c>
      <c r="M181" s="10">
        <v>5332</v>
      </c>
      <c r="N181">
        <f t="shared" si="2"/>
        <v>5332</v>
      </c>
      <c r="P1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Row],[orderNum]],ТабПозиции[orderSumm])&gt;1500),ABS(N181*VLOOKUP(ТабПозиции[[#This Row],[orderNum]],ТабЗаказы[#Data],MATCH("Percent",ТабЗаказы[#Headers],0),0))/100,200/COUNTIF(ТабПозиции[orderNum],ТабПозиции[[#This Row],[orderNum]])),0),"")</f>
        <v>800</v>
      </c>
      <c r="Q181">
        <f>IF(OR(ТабПозиции[[#This Row],[item]]="По штрихкоду",ТабПозиции[[#This Row],[item]]="Посылка"),ТабПозиции[[#This Row],[deliverySumm]]+ТабПозиции[[#This Row],[deliveryPost]],SUM(N181:P181))</f>
        <v>6132</v>
      </c>
      <c r="R181" s="41">
        <v>6132</v>
      </c>
      <c r="S181" s="46">
        <f>ТабПозиции[[#This Row],[totalSumm]]-ТабПозиции[[#This Row],[payment]]</f>
        <v>0</v>
      </c>
      <c r="T181" s="18" t="s">
        <v>580</v>
      </c>
      <c r="U181" s="40" t="s">
        <v>545</v>
      </c>
      <c r="V181" s="40" t="s">
        <v>545</v>
      </c>
      <c r="W181" s="40" t="s">
        <v>545</v>
      </c>
      <c r="X181" s="3"/>
      <c r="Y181"/>
    </row>
    <row r="182" spans="1:25" hidden="1" x14ac:dyDescent="0.25">
      <c r="A182" s="10">
        <v>57</v>
      </c>
      <c r="B182" s="1">
        <f>IFERROR(VLOOKUP(ТабПозиции[[#This Row],[orderNum]],ТабЗаказы[#Data],MATCH(B$7,ТабЗаказы[#Headers],0),0),"")</f>
        <v>45392</v>
      </c>
      <c r="C182" t="str">
        <f>MONTH(ТабПозиции[[#This Row],[date]])&amp;"/"&amp;YEAR(ТабПозиции[[#This Row],[date]])</f>
        <v>4/2024</v>
      </c>
      <c r="D182" s="1" t="str">
        <f>IFERROR(VLOOKUP(ТабПозиции[[#This Row],[orderNum]],ТабЗаказы[#Data],MATCH(D$7,ТабЗаказы[#Headers],0),0),"")</f>
        <v/>
      </c>
      <c r="E182" s="1" t="str">
        <f>IFERROR(VLOOKUP(ТабПозиции[[#This Row],[orderNum]],ТабЗаказы[#Data],MATCH(E$7,ТабЗаказы[#Headers],0),0),"")</f>
        <v/>
      </c>
      <c r="F182" s="16" t="s">
        <v>714</v>
      </c>
      <c r="G182" s="40" t="s">
        <v>545</v>
      </c>
      <c r="I182" s="18">
        <v>45394</v>
      </c>
      <c r="J182" s="10">
        <v>1</v>
      </c>
      <c r="K182" s="10">
        <v>1002</v>
      </c>
      <c r="L182">
        <v>1002</v>
      </c>
      <c r="M182" s="10">
        <v>1091</v>
      </c>
      <c r="N182">
        <f t="shared" si="2"/>
        <v>1091</v>
      </c>
      <c r="P1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Row],[orderNum]],ТабПозиции[orderSumm])&gt;1500),ABS(N182*VLOOKUP(ТабПозиции[[#This Row],[orderNum]],ТабЗаказы[#Data],MATCH("Percent",ТабЗаказы[#Headers],0),0))/100,200/COUNTIF(ТабПозиции[orderNum],ТабПозиции[[#This Row],[orderNum]])),0),"")</f>
        <v>164</v>
      </c>
      <c r="Q182">
        <f>IF(OR(ТабПозиции[[#This Row],[item]]="По штрихкоду",ТабПозиции[[#This Row],[item]]="Посылка"),ТабПозиции[[#This Row],[deliverySumm]]+ТабПозиции[[#This Row],[deliveryPost]],SUM(N182:P182))</f>
        <v>1255</v>
      </c>
      <c r="R182" s="41">
        <f>1255</f>
        <v>1255</v>
      </c>
      <c r="S182" s="46">
        <f>ТабПозиции[[#This Row],[totalSumm]]-ТабПозиции[[#This Row],[payment]]</f>
        <v>0</v>
      </c>
      <c r="T182" s="18" t="s">
        <v>580</v>
      </c>
      <c r="U182" s="40" t="s">
        <v>545</v>
      </c>
      <c r="V182" s="40" t="s">
        <v>545</v>
      </c>
      <c r="W182" s="40" t="s">
        <v>545</v>
      </c>
      <c r="X182" s="3"/>
      <c r="Y182"/>
    </row>
    <row r="183" spans="1:25" hidden="1" x14ac:dyDescent="0.25">
      <c r="A183" s="10">
        <v>58</v>
      </c>
      <c r="B183" s="1">
        <f>IFERROR(VLOOKUP(ТабПозиции[[#This Row],[orderNum]],ТабЗаказы[#Data],MATCH(B$7,ТабЗаказы[#Headers],0),0),"")</f>
        <v>45393</v>
      </c>
      <c r="C183" t="str">
        <f>MONTH(ТабПозиции[[#This Row],[date]])&amp;"/"&amp;YEAR(ТабПозиции[[#This Row],[date]])</f>
        <v>4/2024</v>
      </c>
      <c r="D183" s="1" t="str">
        <f>IFERROR(VLOOKUP(ТабПозиции[[#This Row],[orderNum]],ТабЗаказы[#Data],MATCH(D$7,ТабЗаказы[#Headers],0),0),"")</f>
        <v/>
      </c>
      <c r="E183" s="1" t="str">
        <f>IFERROR(VLOOKUP(ТабПозиции[[#This Row],[orderNum]],ТабЗаказы[#Data],MATCH(E$7,ТабЗаказы[#Headers],0),0),"")</f>
        <v/>
      </c>
      <c r="F183" s="19" t="s">
        <v>715</v>
      </c>
      <c r="G183" s="40" t="s">
        <v>545</v>
      </c>
      <c r="I183" s="18">
        <v>11.04</v>
      </c>
      <c r="J183" s="10">
        <v>1</v>
      </c>
      <c r="K183" s="10">
        <v>13590</v>
      </c>
      <c r="L183">
        <v>13590</v>
      </c>
      <c r="M183" s="10">
        <v>13590</v>
      </c>
      <c r="N183">
        <f t="shared" si="2"/>
        <v>13590</v>
      </c>
      <c r="P1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Row],[orderNum]],ТабПозиции[orderSumm])&gt;1500),ABS(N183*VLOOKUP(ТабПозиции[[#This Row],[orderNum]],ТабЗаказы[#Data],MATCH("Percent",ТабЗаказы[#Headers],0),0))/100,200/COUNTIF(ТабПозиции[orderNum],ТабПозиции[[#This Row],[orderNum]])),0),"")</f>
        <v>1359</v>
      </c>
      <c r="Q183">
        <f>IF(OR(ТабПозиции[[#This Row],[item]]="По штрихкоду",ТабПозиции[[#This Row],[item]]="Посылка"),ТабПозиции[[#This Row],[deliverySumm]]+ТабПозиции[[#This Row],[deliveryPost]],SUM(N183:P183))</f>
        <v>14949</v>
      </c>
      <c r="R183" s="41">
        <v>14949</v>
      </c>
      <c r="S183" s="46">
        <f>ТабПозиции[[#This Row],[totalSumm]]-ТабПозиции[[#This Row],[payment]]</f>
        <v>0</v>
      </c>
      <c r="T183" s="18" t="s">
        <v>694</v>
      </c>
      <c r="U183" s="40" t="s">
        <v>545</v>
      </c>
      <c r="V183" s="40" t="s">
        <v>545</v>
      </c>
      <c r="W183" s="40" t="s">
        <v>545</v>
      </c>
      <c r="X183" s="3"/>
      <c r="Y183"/>
    </row>
    <row r="184" spans="1:25" hidden="1" x14ac:dyDescent="0.25">
      <c r="A184" s="10">
        <v>59</v>
      </c>
      <c r="B184" s="1">
        <f>IFERROR(VLOOKUP(ТабПозиции[[#This Row],[orderNum]],ТабЗаказы[#Data],MATCH(B$7,ТабЗаказы[#Headers],0),0),"")</f>
        <v>45394</v>
      </c>
      <c r="C184" t="str">
        <f>MONTH(ТабПозиции[[#This Row],[date]])&amp;"/"&amp;YEAR(ТабПозиции[[#This Row],[date]])</f>
        <v>4/2024</v>
      </c>
      <c r="D184" s="1" t="str">
        <f>IFERROR(VLOOKUP(ТабПозиции[[#This Row],[orderNum]],ТабЗаказы[#Data],MATCH(D$7,ТабЗаказы[#Headers],0),0),"")</f>
        <v/>
      </c>
      <c r="E184" s="1" t="str">
        <f>IFERROR(VLOOKUP(ТабПозиции[[#This Row],[orderNum]],ТабЗаказы[#Data],MATCH(E$7,ТабЗаказы[#Headers],0),0),"")</f>
        <v/>
      </c>
      <c r="F184" s="19" t="s">
        <v>716</v>
      </c>
      <c r="G184" s="40" t="s">
        <v>545</v>
      </c>
      <c r="I184" s="18">
        <v>45398</v>
      </c>
      <c r="J184" s="10">
        <v>1</v>
      </c>
      <c r="K184" s="10">
        <v>437</v>
      </c>
      <c r="L184">
        <v>437</v>
      </c>
      <c r="M184" s="10">
        <v>474</v>
      </c>
      <c r="N184">
        <f t="shared" si="2"/>
        <v>474</v>
      </c>
      <c r="P1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Row],[orderNum]],ТабПозиции[orderSumm])&gt;1500),ABS(N184*VLOOKUP(ТабПозиции[[#This Row],[orderNum]],ТабЗаказы[#Data],MATCH("Percent",ТабЗаказы[#Headers],0),0))/100,200/COUNTIF(ТабПозиции[orderNum],ТабПозиции[[#This Row],[orderNum]])),0),"")</f>
        <v>47</v>
      </c>
      <c r="Q184">
        <f>IF(OR(ТабПозиции[[#This Row],[item]]="По штрихкоду",ТабПозиции[[#This Row],[item]]="Посылка"),ТабПозиции[[#This Row],[deliverySumm]]+ТабПозиции[[#This Row],[deliveryPost]],SUM(N184:P184))</f>
        <v>521</v>
      </c>
      <c r="R184" s="41">
        <f>524-3</f>
        <v>521</v>
      </c>
      <c r="S184" s="46">
        <f>ТабПозиции[[#This Row],[totalSumm]]-ТабПозиции[[#This Row],[payment]]</f>
        <v>0</v>
      </c>
      <c r="T184" s="18" t="s">
        <v>580</v>
      </c>
      <c r="U184" s="40" t="s">
        <v>545</v>
      </c>
      <c r="V184" s="40" t="s">
        <v>545</v>
      </c>
      <c r="W184" s="40" t="s">
        <v>545</v>
      </c>
      <c r="X184" s="3"/>
      <c r="Y184"/>
    </row>
    <row r="185" spans="1:25" hidden="1" x14ac:dyDescent="0.25">
      <c r="A185" s="10">
        <v>59</v>
      </c>
      <c r="B185" s="1">
        <f>IFERROR(VLOOKUP(ТабПозиции[[#This Row],[orderNum]],ТабЗаказы[#Data],MATCH(B$7,ТабЗаказы[#Headers],0),0),"")</f>
        <v>45394</v>
      </c>
      <c r="C185" t="str">
        <f>MONTH(ТабПозиции[[#This Row],[date]])&amp;"/"&amp;YEAR(ТабПозиции[[#This Row],[date]])</f>
        <v>4/2024</v>
      </c>
      <c r="D185" s="1" t="str">
        <f>IFERROR(VLOOKUP(ТабПозиции[[#This Row],[orderNum]],ТабЗаказы[#Data],MATCH(D$7,ТабЗаказы[#Headers],0),0),"")</f>
        <v/>
      </c>
      <c r="E185" s="1" t="str">
        <f>IFERROR(VLOOKUP(ТабПозиции[[#This Row],[orderNum]],ТабЗаказы[#Data],MATCH(E$7,ТабЗаказы[#Headers],0),0),"")</f>
        <v/>
      </c>
      <c r="F185" s="16" t="s">
        <v>717</v>
      </c>
      <c r="G185" s="40" t="s">
        <v>545</v>
      </c>
      <c r="I185" s="18">
        <v>45397</v>
      </c>
      <c r="J185" s="10">
        <v>5</v>
      </c>
      <c r="K185" s="10">
        <v>393</v>
      </c>
      <c r="L185">
        <v>1965</v>
      </c>
      <c r="M185" s="10">
        <v>426</v>
      </c>
      <c r="N185">
        <f t="shared" si="2"/>
        <v>2130</v>
      </c>
      <c r="P1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Row],[orderNum]],ТабПозиции[orderSumm])&gt;1500),ABS(N185*VLOOKUP(ТабПозиции[[#This Row],[orderNum]],ТабЗаказы[#Data],MATCH("Percent",ТабЗаказы[#Headers],0),0))/100,200/COUNTIF(ТабПозиции[orderNum],ТабПозиции[[#This Row],[orderNum]])),0),"")</f>
        <v>213</v>
      </c>
      <c r="Q185">
        <f>IF(OR(ТабПозиции[[#This Row],[item]]="По штрихкоду",ТабПозиции[[#This Row],[item]]="Посылка"),ТабПозиции[[#This Row],[deliverySumm]]+ТабПозиции[[#This Row],[deliveryPost]],SUM(N185:P185))</f>
        <v>2343</v>
      </c>
      <c r="R185" s="41">
        <f>2519-176</f>
        <v>2343</v>
      </c>
      <c r="S185" s="46">
        <f>ТабПозиции[[#This Row],[totalSumm]]-ТабПозиции[[#This Row],[payment]]</f>
        <v>0</v>
      </c>
      <c r="T185" s="18" t="s">
        <v>580</v>
      </c>
      <c r="U185" s="40" t="s">
        <v>545</v>
      </c>
      <c r="V185" s="40" t="s">
        <v>545</v>
      </c>
      <c r="W185" s="40" t="s">
        <v>545</v>
      </c>
      <c r="X185" s="3"/>
      <c r="Y185"/>
    </row>
    <row r="186" spans="1:25" hidden="1" x14ac:dyDescent="0.25">
      <c r="A186" s="10">
        <v>59</v>
      </c>
      <c r="B186" s="1">
        <f>IFERROR(VLOOKUP(ТабПозиции[[#This Row],[orderNum]],ТабЗаказы[#Data],MATCH(B$7,ТабЗаказы[#Headers],0),0),"")</f>
        <v>45394</v>
      </c>
      <c r="C186" t="str">
        <f>MONTH(ТабПозиции[[#This Row],[date]])&amp;"/"&amp;YEAR(ТабПозиции[[#This Row],[date]])</f>
        <v>4/2024</v>
      </c>
      <c r="D186" s="1" t="str">
        <f>IFERROR(VLOOKUP(ТабПозиции[[#This Row],[orderNum]],ТабЗаказы[#Data],MATCH(D$7,ТабЗаказы[#Headers],0),0),"")</f>
        <v/>
      </c>
      <c r="E186" s="1" t="str">
        <f>IFERROR(VLOOKUP(ТабПозиции[[#This Row],[orderNum]],ТабЗаказы[#Data],MATCH(E$7,ТабЗаказы[#Headers],0),0),"")</f>
        <v/>
      </c>
      <c r="F186" s="16" t="s">
        <v>718</v>
      </c>
      <c r="G186" s="40" t="s">
        <v>545</v>
      </c>
      <c r="I186" s="18">
        <v>45397</v>
      </c>
      <c r="J186" s="10">
        <v>1</v>
      </c>
      <c r="K186" s="10">
        <v>316</v>
      </c>
      <c r="L186">
        <v>316</v>
      </c>
      <c r="M186" s="10">
        <v>322</v>
      </c>
      <c r="N186">
        <f t="shared" si="2"/>
        <v>322</v>
      </c>
      <c r="P1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Row],[orderNum]],ТабПозиции[orderSumm])&gt;1500),ABS(N186*VLOOKUP(ТабПозиции[[#This Row],[orderNum]],ТабЗаказы[#Data],MATCH("Percent",ТабЗаказы[#Headers],0),0))/100,200/COUNTIF(ТабПозиции[orderNum],ТабПозиции[[#This Row],[orderNum]])),0),"")</f>
        <v>32</v>
      </c>
      <c r="Q186">
        <f>IF(OR(ТабПозиции[[#This Row],[item]]="По штрихкоду",ТабПозиции[[#This Row],[item]]="Посылка"),ТабПозиции[[#This Row],[deliverySumm]]+ТабПозиции[[#This Row],[deliveryPost]],SUM(N186:P186))</f>
        <v>354</v>
      </c>
      <c r="R186" s="41">
        <v>354</v>
      </c>
      <c r="S186" s="46">
        <f>ТабПозиции[[#This Row],[totalSumm]]-ТабПозиции[[#This Row],[payment]]</f>
        <v>0</v>
      </c>
      <c r="T186" s="18" t="s">
        <v>580</v>
      </c>
      <c r="U186" s="40" t="s">
        <v>545</v>
      </c>
      <c r="V186" s="40" t="s">
        <v>545</v>
      </c>
      <c r="W186" s="40" t="s">
        <v>545</v>
      </c>
      <c r="X186" s="3"/>
      <c r="Y186"/>
    </row>
    <row r="187" spans="1:25" hidden="1" x14ac:dyDescent="0.25">
      <c r="A187" s="10">
        <v>59</v>
      </c>
      <c r="B187" s="1">
        <f>IFERROR(VLOOKUP(ТабПозиции[[#This Row],[orderNum]],ТабЗаказы[#Data],MATCH(B$7,ТабЗаказы[#Headers],0),0),"")</f>
        <v>45394</v>
      </c>
      <c r="C187" t="str">
        <f>MONTH(ТабПозиции[[#This Row],[date]])&amp;"/"&amp;YEAR(ТабПозиции[[#This Row],[date]])</f>
        <v>4/2024</v>
      </c>
      <c r="D187" s="1" t="str">
        <f>IFERROR(VLOOKUP(ТабПозиции[[#This Row],[orderNum]],ТабЗаказы[#Data],MATCH(D$7,ТабЗаказы[#Headers],0),0),"")</f>
        <v/>
      </c>
      <c r="E187" s="1" t="str">
        <f>IFERROR(VLOOKUP(ТабПозиции[[#This Row],[orderNum]],ТабЗаказы[#Data],MATCH(E$7,ТабЗаказы[#Headers],0),0),"")</f>
        <v/>
      </c>
      <c r="F187" s="16" t="s">
        <v>719</v>
      </c>
      <c r="G187" s="40" t="s">
        <v>545</v>
      </c>
      <c r="I187" s="18">
        <v>45396</v>
      </c>
      <c r="J187" s="10">
        <v>1</v>
      </c>
      <c r="K187" s="10">
        <v>1106</v>
      </c>
      <c r="L187">
        <v>1106</v>
      </c>
      <c r="M187" s="10">
        <v>1141</v>
      </c>
      <c r="N187">
        <f t="shared" si="2"/>
        <v>1141</v>
      </c>
      <c r="P1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Row],[orderNum]],ТабПозиции[orderSumm])&gt;1500),ABS(N187*VLOOKUP(ТабПозиции[[#This Row],[orderNum]],ТабЗаказы[#Data],MATCH("Percent",ТабЗаказы[#Headers],0),0))/100,200/COUNTIF(ТабПозиции[orderNum],ТабПозиции[[#This Row],[orderNum]])),0),"")</f>
        <v>114</v>
      </c>
      <c r="Q187">
        <f>IF(OR(ТабПозиции[[#This Row],[item]]="По штрихкоду",ТабПозиции[[#This Row],[item]]="Посылка"),ТабПозиции[[#This Row],[deliverySumm]]+ТабПозиции[[#This Row],[deliveryPost]],SUM(N187:P187))</f>
        <v>1255</v>
      </c>
      <c r="R187" s="41">
        <v>1255</v>
      </c>
      <c r="S187" s="46">
        <f>ТабПозиции[[#This Row],[totalSumm]]-ТабПозиции[[#This Row],[payment]]</f>
        <v>0</v>
      </c>
      <c r="T187" s="18" t="s">
        <v>563</v>
      </c>
      <c r="U187" s="40" t="s">
        <v>545</v>
      </c>
      <c r="V187" s="40" t="s">
        <v>545</v>
      </c>
      <c r="W187" s="40" t="s">
        <v>545</v>
      </c>
      <c r="X187" s="3"/>
      <c r="Y187"/>
    </row>
    <row r="188" spans="1:25" hidden="1" x14ac:dyDescent="0.25">
      <c r="A188" s="10">
        <v>59</v>
      </c>
      <c r="B188" s="1">
        <f>IFERROR(VLOOKUP(ТабПозиции[[#This Row],[orderNum]],ТабЗаказы[#Data],MATCH(B$7,ТабЗаказы[#Headers],0),0),"")</f>
        <v>45394</v>
      </c>
      <c r="C188" t="str">
        <f>MONTH(ТабПозиции[[#This Row],[date]])&amp;"/"&amp;YEAR(ТабПозиции[[#This Row],[date]])</f>
        <v>4/2024</v>
      </c>
      <c r="D188" s="1" t="str">
        <f>IFERROR(VLOOKUP(ТабПозиции[[#This Row],[orderNum]],ТабЗаказы[#Data],MATCH(D$7,ТабЗаказы[#Headers],0),0),"")</f>
        <v/>
      </c>
      <c r="E188" s="1" t="str">
        <f>IFERROR(VLOOKUP(ТабПозиции[[#This Row],[orderNum]],ТабЗаказы[#Data],MATCH(E$7,ТабЗаказы[#Headers],0),0),"")</f>
        <v/>
      </c>
      <c r="F188" s="16" t="s">
        <v>720</v>
      </c>
      <c r="G188" s="40" t="s">
        <v>545</v>
      </c>
      <c r="I188" s="18">
        <v>45396</v>
      </c>
      <c r="J188" s="10">
        <v>1</v>
      </c>
      <c r="K188" s="10">
        <v>186</v>
      </c>
      <c r="L188">
        <v>186</v>
      </c>
      <c r="M188" s="10">
        <v>192</v>
      </c>
      <c r="N188">
        <f t="shared" si="2"/>
        <v>192</v>
      </c>
      <c r="P1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Row],[orderNum]],ТабПозиции[orderSumm])&gt;1500),ABS(N188*VLOOKUP(ТабПозиции[[#This Row],[orderNum]],ТабЗаказы[#Data],MATCH("Percent",ТабЗаказы[#Headers],0),0))/100,200/COUNTIF(ТабПозиции[orderNum],ТабПозиции[[#This Row],[orderNum]])),0),"")</f>
        <v>19</v>
      </c>
      <c r="Q188">
        <f>IF(OR(ТабПозиции[[#This Row],[item]]="По штрихкоду",ТабПозиции[[#This Row],[item]]="Посылка"),ТабПозиции[[#This Row],[deliverySumm]]+ТабПозиции[[#This Row],[deliveryPost]],SUM(N188:P188))</f>
        <v>211</v>
      </c>
      <c r="R188" s="41">
        <v>211</v>
      </c>
      <c r="S188" s="46">
        <f>ТабПозиции[[#This Row],[totalSumm]]-ТабПозиции[[#This Row],[payment]]</f>
        <v>0</v>
      </c>
      <c r="T188" s="18" t="s">
        <v>563</v>
      </c>
      <c r="U188" s="40" t="s">
        <v>545</v>
      </c>
      <c r="V188" s="40" t="s">
        <v>545</v>
      </c>
      <c r="W188" s="40" t="s">
        <v>545</v>
      </c>
      <c r="X188" s="3"/>
      <c r="Y188"/>
    </row>
    <row r="189" spans="1:25" hidden="1" x14ac:dyDescent="0.25">
      <c r="A189" s="10">
        <v>59</v>
      </c>
      <c r="B189" s="1">
        <f>IFERROR(VLOOKUP(ТабПозиции[[#This Row],[orderNum]],ТабЗаказы[#Data],MATCH(B$7,ТабЗаказы[#Headers],0),0),"")</f>
        <v>45394</v>
      </c>
      <c r="C189" t="str">
        <f>MONTH(ТабПозиции[[#This Row],[date]])&amp;"/"&amp;YEAR(ТабПозиции[[#This Row],[date]])</f>
        <v>4/2024</v>
      </c>
      <c r="D189" s="1" t="str">
        <f>IFERROR(VLOOKUP(ТабПозиции[[#This Row],[orderNum]],ТабЗаказы[#Data],MATCH(D$7,ТабЗаказы[#Headers],0),0),"")</f>
        <v/>
      </c>
      <c r="E189" s="1" t="str">
        <f>IFERROR(VLOOKUP(ТабПозиции[[#This Row],[orderNum]],ТабЗаказы[#Data],MATCH(E$7,ТабЗаказы[#Headers],0),0),"")</f>
        <v/>
      </c>
      <c r="F189" s="16" t="s">
        <v>721</v>
      </c>
      <c r="G189" s="40" t="s">
        <v>545</v>
      </c>
      <c r="I189" s="18">
        <v>45396</v>
      </c>
      <c r="J189" s="10">
        <v>1</v>
      </c>
      <c r="K189" s="10">
        <v>532</v>
      </c>
      <c r="L189">
        <v>532</v>
      </c>
      <c r="M189" s="10">
        <v>549</v>
      </c>
      <c r="N189">
        <f t="shared" si="2"/>
        <v>549</v>
      </c>
      <c r="P1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Row],[orderNum]],ТабПозиции[orderSumm])&gt;1500),ABS(N189*VLOOKUP(ТабПозиции[[#This Row],[orderNum]],ТабЗаказы[#Data],MATCH("Percent",ТабЗаказы[#Headers],0),0))/100,200/COUNTIF(ТабПозиции[orderNum],ТабПозиции[[#This Row],[orderNum]])),0),"")</f>
        <v>55</v>
      </c>
      <c r="Q189">
        <f>IF(OR(ТабПозиции[[#This Row],[item]]="По штрихкоду",ТабПозиции[[#This Row],[item]]="Посылка"),ТабПозиции[[#This Row],[deliverySumm]]+ТабПозиции[[#This Row],[deliveryPost]],SUM(N189:P189))</f>
        <v>604</v>
      </c>
      <c r="R189" s="41">
        <v>604</v>
      </c>
      <c r="S189" s="46">
        <f>ТабПозиции[[#This Row],[totalSumm]]-ТабПозиции[[#This Row],[payment]]</f>
        <v>0</v>
      </c>
      <c r="T189" s="18" t="s">
        <v>563</v>
      </c>
      <c r="U189" s="40" t="s">
        <v>545</v>
      </c>
      <c r="V189" s="40" t="s">
        <v>545</v>
      </c>
      <c r="W189" s="40" t="s">
        <v>545</v>
      </c>
      <c r="X189" s="3"/>
      <c r="Y189"/>
    </row>
    <row r="190" spans="1:25" hidden="1" x14ac:dyDescent="0.25">
      <c r="A190" s="10">
        <v>59</v>
      </c>
      <c r="B190" s="1">
        <f>IFERROR(VLOOKUP(ТабПозиции[[#This Row],[orderNum]],ТабЗаказы[#Data],MATCH(B$7,ТабЗаказы[#Headers],0),0),"")</f>
        <v>45394</v>
      </c>
      <c r="C190" t="str">
        <f>MONTH(ТабПозиции[[#This Row],[date]])&amp;"/"&amp;YEAR(ТабПозиции[[#This Row],[date]])</f>
        <v>4/2024</v>
      </c>
      <c r="D190" s="1" t="str">
        <f>IFERROR(VLOOKUP(ТабПозиции[[#This Row],[orderNum]],ТабЗаказы[#Data],MATCH(D$7,ТабЗаказы[#Headers],0),0),"")</f>
        <v/>
      </c>
      <c r="E190" s="1" t="str">
        <f>IFERROR(VLOOKUP(ТабПозиции[[#This Row],[orderNum]],ТабЗаказы[#Data],MATCH(E$7,ТабЗаказы[#Headers],0),0),"")</f>
        <v/>
      </c>
      <c r="F190" s="16" t="s">
        <v>722</v>
      </c>
      <c r="G190" s="40" t="s">
        <v>545</v>
      </c>
      <c r="I190" s="18">
        <v>45396</v>
      </c>
      <c r="J190" s="10">
        <v>3</v>
      </c>
      <c r="K190" s="10">
        <v>238</v>
      </c>
      <c r="L190">
        <v>714</v>
      </c>
      <c r="M190" s="10">
        <v>246</v>
      </c>
      <c r="N190">
        <f t="shared" si="2"/>
        <v>738</v>
      </c>
      <c r="P1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Row],[orderNum]],ТабПозиции[orderSumm])&gt;1500),ABS(N190*VLOOKUP(ТабПозиции[[#This Row],[orderNum]],ТабЗаказы[#Data],MATCH("Percent",ТабЗаказы[#Headers],0),0))/100,200/COUNTIF(ТабПозиции[orderNum],ТабПозиции[[#This Row],[orderNum]])),0),"")</f>
        <v>74</v>
      </c>
      <c r="Q190">
        <f>IF(OR(ТабПозиции[[#This Row],[item]]="По штрихкоду",ТабПозиции[[#This Row],[item]]="Посылка"),ТабПозиции[[#This Row],[deliverySumm]]+ТабПозиции[[#This Row],[deliveryPost]],SUM(N190:P190))</f>
        <v>812</v>
      </c>
      <c r="R190" s="41">
        <f>967-155</f>
        <v>812</v>
      </c>
      <c r="S190" s="46">
        <f>ТабПозиции[[#This Row],[totalSumm]]-ТабПозиции[[#This Row],[payment]]</f>
        <v>0</v>
      </c>
      <c r="T190" s="18" t="s">
        <v>563</v>
      </c>
      <c r="U190" s="40" t="s">
        <v>545</v>
      </c>
      <c r="V190" s="40" t="s">
        <v>545</v>
      </c>
      <c r="W190" s="40" t="s">
        <v>545</v>
      </c>
      <c r="X190" s="3"/>
      <c r="Y190"/>
    </row>
    <row r="191" spans="1:25" hidden="1" x14ac:dyDescent="0.25">
      <c r="A191" s="10">
        <v>59</v>
      </c>
      <c r="B191" s="1">
        <f>IFERROR(VLOOKUP(ТабПозиции[[#This Row],[orderNum]],ТабЗаказы[#Data],MATCH(B$7,ТабЗаказы[#Headers],0),0),"")</f>
        <v>45394</v>
      </c>
      <c r="C191" t="str">
        <f>MONTH(ТабПозиции[[#This Row],[date]])&amp;"/"&amp;YEAR(ТабПозиции[[#This Row],[date]])</f>
        <v>4/2024</v>
      </c>
      <c r="D191" s="1" t="str">
        <f>IFERROR(VLOOKUP(ТабПозиции[[#This Row],[orderNum]],ТабЗаказы[#Data],MATCH(D$7,ТабЗаказы[#Headers],0),0),"")</f>
        <v/>
      </c>
      <c r="E191" s="1" t="str">
        <f>IFERROR(VLOOKUP(ТабПозиции[[#This Row],[orderNum]],ТабЗаказы[#Data],MATCH(E$7,ТабЗаказы[#Headers],0),0),"")</f>
        <v/>
      </c>
      <c r="F191" s="16" t="s">
        <v>723</v>
      </c>
      <c r="G191" s="40" t="s">
        <v>545</v>
      </c>
      <c r="I191" s="18">
        <v>45396</v>
      </c>
      <c r="J191" s="10">
        <v>1</v>
      </c>
      <c r="K191" s="10">
        <v>357</v>
      </c>
      <c r="L191">
        <v>357</v>
      </c>
      <c r="M191" s="10">
        <v>369</v>
      </c>
      <c r="N191">
        <f t="shared" si="2"/>
        <v>369</v>
      </c>
      <c r="P1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Row],[orderNum]],ТабПозиции[orderSumm])&gt;1500),ABS(N191*VLOOKUP(ТабПозиции[[#This Row],[orderNum]],ТабЗаказы[#Data],MATCH("Percent",ТабЗаказы[#Headers],0),0))/100,200/COUNTIF(ТабПозиции[orderNum],ТабПозиции[[#This Row],[orderNum]])),0),"")</f>
        <v>37</v>
      </c>
      <c r="Q191">
        <f>IF(OR(ТабПозиции[[#This Row],[item]]="По штрихкоду",ТабПозиции[[#This Row],[item]]="Посылка"),ТабПозиции[[#This Row],[deliverySumm]]+ТабПозиции[[#This Row],[deliveryPost]],SUM(N191:P191))</f>
        <v>406</v>
      </c>
      <c r="R191" s="41">
        <v>406</v>
      </c>
      <c r="S191" s="46">
        <f>ТабПозиции[[#This Row],[totalSumm]]-ТабПозиции[[#This Row],[payment]]</f>
        <v>0</v>
      </c>
      <c r="T191" s="18" t="s">
        <v>563</v>
      </c>
      <c r="U191" s="40" t="s">
        <v>545</v>
      </c>
      <c r="V191" s="40" t="s">
        <v>545</v>
      </c>
      <c r="W191" s="40" t="s">
        <v>545</v>
      </c>
      <c r="X191" s="3"/>
      <c r="Y191"/>
    </row>
    <row r="192" spans="1:25" hidden="1" x14ac:dyDescent="0.25">
      <c r="A192" s="10">
        <v>59</v>
      </c>
      <c r="B192" s="1">
        <f>IFERROR(VLOOKUP(ТабПозиции[[#This Row],[orderNum]],ТабЗаказы[#Data],MATCH(B$7,ТабЗаказы[#Headers],0),0),"")</f>
        <v>45394</v>
      </c>
      <c r="C192" t="str">
        <f>MONTH(ТабПозиции[[#This Row],[date]])&amp;"/"&amp;YEAR(ТабПозиции[[#This Row],[date]])</f>
        <v>4/2024</v>
      </c>
      <c r="D192" s="1" t="str">
        <f>IFERROR(VLOOKUP(ТабПозиции[[#This Row],[orderNum]],ТабЗаказы[#Data],MATCH(D$7,ТабЗаказы[#Headers],0),0),"")</f>
        <v/>
      </c>
      <c r="E192" s="1" t="str">
        <f>IFERROR(VLOOKUP(ТабПозиции[[#This Row],[orderNum]],ТабЗаказы[#Data],MATCH(E$7,ТабЗаказы[#Headers],0),0),"")</f>
        <v/>
      </c>
      <c r="F192" s="16" t="s">
        <v>724</v>
      </c>
      <c r="G192" s="40" t="s">
        <v>545</v>
      </c>
      <c r="I192" s="18">
        <v>45396</v>
      </c>
      <c r="J192" s="10">
        <v>1</v>
      </c>
      <c r="K192" s="10">
        <v>517</v>
      </c>
      <c r="L192">
        <v>517</v>
      </c>
      <c r="M192" s="10">
        <v>534</v>
      </c>
      <c r="N192">
        <f t="shared" si="2"/>
        <v>534</v>
      </c>
      <c r="P1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Row],[orderNum]],ТабПозиции[orderSumm])&gt;1500),ABS(N192*VLOOKUP(ТабПозиции[[#This Row],[orderNum]],ТабЗаказы[#Data],MATCH("Percent",ТабЗаказы[#Headers],0),0))/100,200/COUNTIF(ТабПозиции[orderNum],ТабПозиции[[#This Row],[orderNum]])),0),"")</f>
        <v>53</v>
      </c>
      <c r="Q192">
        <f>IF(OR(ТабПозиции[[#This Row],[item]]="По штрихкоду",ТабПозиции[[#This Row],[item]]="Посылка"),ТабПозиции[[#This Row],[deliverySumm]]+ТабПозиции[[#This Row],[deliveryPost]],SUM(N192:P192))</f>
        <v>587</v>
      </c>
      <c r="R192" s="41">
        <v>587</v>
      </c>
      <c r="S192" s="46">
        <f>ТабПозиции[[#This Row],[totalSumm]]-ТабПозиции[[#This Row],[payment]]</f>
        <v>0</v>
      </c>
      <c r="T192" s="18" t="s">
        <v>563</v>
      </c>
      <c r="U192" s="40" t="s">
        <v>545</v>
      </c>
      <c r="V192" s="40" t="s">
        <v>545</v>
      </c>
      <c r="W192" s="40" t="s">
        <v>545</v>
      </c>
      <c r="X192" s="3"/>
      <c r="Y192"/>
    </row>
    <row r="193" spans="1:25" hidden="1" x14ac:dyDescent="0.25">
      <c r="A193" s="10">
        <v>59</v>
      </c>
      <c r="B193" s="1">
        <f>IFERROR(VLOOKUP(ТабПозиции[[#This Row],[orderNum]],ТабЗаказы[#Data],MATCH(B$7,ТабЗаказы[#Headers],0),0),"")</f>
        <v>45394</v>
      </c>
      <c r="C193" t="str">
        <f>MONTH(ТабПозиции[[#This Row],[date]])&amp;"/"&amp;YEAR(ТабПозиции[[#This Row],[date]])</f>
        <v>4/2024</v>
      </c>
      <c r="D193" s="1" t="str">
        <f>IFERROR(VLOOKUP(ТабПозиции[[#This Row],[orderNum]],ТабЗаказы[#Data],MATCH(D$7,ТабЗаказы[#Headers],0),0),"")</f>
        <v/>
      </c>
      <c r="E193" s="1" t="str">
        <f>IFERROR(VLOOKUP(ТабПозиции[[#This Row],[orderNum]],ТабЗаказы[#Data],MATCH(E$7,ТабЗаказы[#Headers],0),0),"")</f>
        <v/>
      </c>
      <c r="F193" s="16" t="s">
        <v>725</v>
      </c>
      <c r="G193" s="40" t="s">
        <v>545</v>
      </c>
      <c r="I193" s="18">
        <v>45396</v>
      </c>
      <c r="J193" s="10">
        <v>1</v>
      </c>
      <c r="K193" s="10">
        <v>1110</v>
      </c>
      <c r="L193">
        <v>1110</v>
      </c>
      <c r="M193" s="10">
        <v>1145</v>
      </c>
      <c r="N193">
        <f t="shared" si="2"/>
        <v>1145</v>
      </c>
      <c r="P1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Row],[orderNum]],ТабПозиции[orderSumm])&gt;1500),ABS(N193*VLOOKUP(ТабПозиции[[#This Row],[orderNum]],ТабЗаказы[#Data],MATCH("Percent",ТабЗаказы[#Headers],0),0))/100,200/COUNTIF(ТабПозиции[orderNum],ТабПозиции[[#This Row],[orderNum]])),0),"")</f>
        <v>115</v>
      </c>
      <c r="Q193">
        <f>IF(OR(ТабПозиции[[#This Row],[item]]="По штрихкоду",ТабПозиции[[#This Row],[item]]="Посылка"),ТабПозиции[[#This Row],[deliverySumm]]+ТабПозиции[[#This Row],[deliveryPost]],SUM(N193:P193))</f>
        <v>1260</v>
      </c>
      <c r="R193" s="41">
        <v>1260</v>
      </c>
      <c r="S193" s="46">
        <f>ТабПозиции[[#This Row],[totalSumm]]-ТабПозиции[[#This Row],[payment]]</f>
        <v>0</v>
      </c>
      <c r="T193" s="18" t="s">
        <v>563</v>
      </c>
      <c r="U193" s="40" t="s">
        <v>545</v>
      </c>
      <c r="V193" s="40" t="s">
        <v>545</v>
      </c>
      <c r="W193" s="40" t="s">
        <v>545</v>
      </c>
      <c r="X193" s="3"/>
      <c r="Y193"/>
    </row>
    <row r="194" spans="1:25" hidden="1" x14ac:dyDescent="0.25">
      <c r="A194" s="10">
        <v>59</v>
      </c>
      <c r="B194" s="1">
        <f>IFERROR(VLOOKUP(ТабПозиции[[#This Row],[orderNum]],ТабЗаказы[#Data],MATCH(B$7,ТабЗаказы[#Headers],0),0),"")</f>
        <v>45394</v>
      </c>
      <c r="C194" t="str">
        <f>MONTH(ТабПозиции[[#This Row],[date]])&amp;"/"&amp;YEAR(ТабПозиции[[#This Row],[date]])</f>
        <v>4/2024</v>
      </c>
      <c r="D194" s="1" t="str">
        <f>IFERROR(VLOOKUP(ТабПозиции[[#This Row],[orderNum]],ТабЗаказы[#Data],MATCH(D$7,ТабЗаказы[#Headers],0),0),"")</f>
        <v/>
      </c>
      <c r="E194" s="1" t="str">
        <f>IFERROR(VLOOKUP(ТабПозиции[[#This Row],[orderNum]],ТабЗаказы[#Data],MATCH(E$7,ТабЗаказы[#Headers],0),0),"")</f>
        <v/>
      </c>
      <c r="F194" s="16" t="s">
        <v>726</v>
      </c>
      <c r="G194" s="40" t="s">
        <v>545</v>
      </c>
      <c r="I194" s="18">
        <v>45399</v>
      </c>
      <c r="J194" s="10">
        <v>2</v>
      </c>
      <c r="K194" s="10">
        <v>852</v>
      </c>
      <c r="L194">
        <v>1704</v>
      </c>
      <c r="M194" s="10">
        <v>922</v>
      </c>
      <c r="N194">
        <f t="shared" si="2"/>
        <v>1844</v>
      </c>
      <c r="P1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Row],[orderNum]],ТабПозиции[orderSumm])&gt;1500),ABS(N194*VLOOKUP(ТабПозиции[[#This Row],[orderNum]],ТабЗаказы[#Data],MATCH("Percent",ТабЗаказы[#Headers],0),0))/100,200/COUNTIF(ТабПозиции[orderNum],ТабПозиции[[#This Row],[orderNum]])),0),"")</f>
        <v>184</v>
      </c>
      <c r="Q194">
        <f>IF(OR(ТабПозиции[[#This Row],[item]]="По штрихкоду",ТабПозиции[[#This Row],[item]]="Посылка"),ТабПозиции[[#This Row],[deliverySumm]]+ТабПозиции[[#This Row],[deliveryPost]],SUM(N194:P194))</f>
        <v>2028</v>
      </c>
      <c r="R194" s="41">
        <f>2009+19</f>
        <v>2028</v>
      </c>
      <c r="S194" s="46">
        <f>ТабПозиции[[#This Row],[totalSumm]]-ТабПозиции[[#This Row],[payment]]</f>
        <v>0</v>
      </c>
      <c r="T194" s="18" t="s">
        <v>580</v>
      </c>
      <c r="U194" s="40" t="s">
        <v>545</v>
      </c>
      <c r="V194" s="40" t="s">
        <v>545</v>
      </c>
      <c r="W194" s="40" t="s">
        <v>545</v>
      </c>
      <c r="X194" s="3"/>
      <c r="Y194"/>
    </row>
    <row r="195" spans="1:25" hidden="1" x14ac:dyDescent="0.25">
      <c r="A195" s="10">
        <v>59</v>
      </c>
      <c r="B195" s="1">
        <f>IFERROR(VLOOKUP(ТабПозиции[[#This Row],[orderNum]],ТабЗаказы[#Data],MATCH(B$7,ТабЗаказы[#Headers],0),0),"")</f>
        <v>45394</v>
      </c>
      <c r="C195" t="str">
        <f>MONTH(ТабПозиции[[#This Row],[date]])&amp;"/"&amp;YEAR(ТабПозиции[[#This Row],[date]])</f>
        <v>4/2024</v>
      </c>
      <c r="D195" s="1" t="str">
        <f>IFERROR(VLOOKUP(ТабПозиции[[#This Row],[orderNum]],ТабЗаказы[#Data],MATCH(D$7,ТабЗаказы[#Headers],0),0),"")</f>
        <v/>
      </c>
      <c r="E195" s="1" t="str">
        <f>IFERROR(VLOOKUP(ТабПозиции[[#This Row],[orderNum]],ТабЗаказы[#Data],MATCH(E$7,ТабЗаказы[#Headers],0),0),"")</f>
        <v/>
      </c>
      <c r="F195" s="16" t="s">
        <v>727</v>
      </c>
      <c r="G195" s="40" t="s">
        <v>545</v>
      </c>
      <c r="I195" s="18">
        <v>45395</v>
      </c>
      <c r="J195" s="10">
        <v>1</v>
      </c>
      <c r="K195" s="10">
        <v>764</v>
      </c>
      <c r="L195">
        <v>764</v>
      </c>
      <c r="M195" s="10">
        <v>827</v>
      </c>
      <c r="N195">
        <f t="shared" si="2"/>
        <v>827</v>
      </c>
      <c r="P1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Row],[orderNum]],ТабПозиции[orderSumm])&gt;1500),ABS(N195*VLOOKUP(ТабПозиции[[#This Row],[orderNum]],ТабЗаказы[#Data],MATCH("Percent",ТабЗаказы[#Headers],0),0))/100,200/COUNTIF(ТабПозиции[orderNum],ТабПозиции[[#This Row],[orderNum]])),0),"")</f>
        <v>83</v>
      </c>
      <c r="Q195">
        <f>IF(OR(ТабПозиции[[#This Row],[item]]="По штрихкоду",ТабПозиции[[#This Row],[item]]="Посылка"),ТабПозиции[[#This Row],[deliverySumm]]+ТабПозиции[[#This Row],[deliveryPost]],SUM(N195:P195))</f>
        <v>910</v>
      </c>
      <c r="R195" s="41">
        <f>902+8</f>
        <v>910</v>
      </c>
      <c r="S195" s="46">
        <f>ТабПозиции[[#This Row],[totalSumm]]-ТабПозиции[[#This Row],[payment]]</f>
        <v>0</v>
      </c>
      <c r="T195" s="18" t="s">
        <v>580</v>
      </c>
      <c r="U195" s="40" t="s">
        <v>545</v>
      </c>
      <c r="V195" s="40" t="s">
        <v>545</v>
      </c>
      <c r="W195" s="40" t="s">
        <v>545</v>
      </c>
      <c r="X195" s="3"/>
      <c r="Y195"/>
    </row>
    <row r="196" spans="1:25" hidden="1" x14ac:dyDescent="0.25">
      <c r="A196" s="10">
        <v>59</v>
      </c>
      <c r="B196" s="1">
        <f>IFERROR(VLOOKUP(ТабПозиции[[#This Row],[orderNum]],ТабЗаказы[#Data],MATCH(B$7,ТабЗаказы[#Headers],0),0),"")</f>
        <v>45394</v>
      </c>
      <c r="C196" t="str">
        <f>MONTH(ТабПозиции[[#This Row],[date]])&amp;"/"&amp;YEAR(ТабПозиции[[#This Row],[date]])</f>
        <v>4/2024</v>
      </c>
      <c r="D196" s="1" t="str">
        <f>IFERROR(VLOOKUP(ТабПозиции[[#This Row],[orderNum]],ТабЗаказы[#Data],MATCH(D$7,ТабЗаказы[#Headers],0),0),"")</f>
        <v/>
      </c>
      <c r="E196" s="1" t="str">
        <f>IFERROR(VLOOKUP(ТабПозиции[[#This Row],[orderNum]],ТабЗаказы[#Data],MATCH(E$7,ТабЗаказы[#Headers],0),0),"")</f>
        <v/>
      </c>
      <c r="F196" s="16" t="s">
        <v>728</v>
      </c>
      <c r="G196" s="40" t="s">
        <v>545</v>
      </c>
      <c r="I196" s="18">
        <v>45397</v>
      </c>
      <c r="J196" s="10">
        <v>1</v>
      </c>
      <c r="K196" s="10">
        <v>503</v>
      </c>
      <c r="L196">
        <v>503</v>
      </c>
      <c r="M196" s="10">
        <v>513</v>
      </c>
      <c r="N196">
        <f t="shared" si="2"/>
        <v>513</v>
      </c>
      <c r="P1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Row],[orderNum]],ТабПозиции[orderSumm])&gt;1500),ABS(N196*VLOOKUP(ТабПозиции[[#This Row],[orderNum]],ТабЗаказы[#Data],MATCH("Percent",ТабЗаказы[#Headers],0),0))/100,200/COUNTIF(ТабПозиции[orderNum],ТабПозиции[[#This Row],[orderNum]])),0),"")</f>
        <v>51</v>
      </c>
      <c r="Q196">
        <f>IF(OR(ТабПозиции[[#This Row],[item]]="По штрихкоду",ТабПозиции[[#This Row],[item]]="Посылка"),ТабПозиции[[#This Row],[deliverySumm]]+ТабПозиции[[#This Row],[deliveryPost]],SUM(N196:P196))</f>
        <v>564</v>
      </c>
      <c r="R196" s="41">
        <v>564</v>
      </c>
      <c r="S196" s="46">
        <f>ТабПозиции[[#This Row],[totalSumm]]-ТабПозиции[[#This Row],[payment]]</f>
        <v>0</v>
      </c>
      <c r="T196" s="18" t="s">
        <v>580</v>
      </c>
      <c r="U196" s="40" t="s">
        <v>545</v>
      </c>
      <c r="V196" s="40" t="s">
        <v>545</v>
      </c>
      <c r="W196" s="40" t="s">
        <v>545</v>
      </c>
      <c r="X196" s="3"/>
      <c r="Y196"/>
    </row>
    <row r="197" spans="1:25" hidden="1" x14ac:dyDescent="0.25">
      <c r="A197" s="10">
        <v>59</v>
      </c>
      <c r="B197" s="1">
        <f>IFERROR(VLOOKUP(ТабПозиции[[#This Row],[orderNum]],ТабЗаказы[#Data],MATCH(B$7,ТабЗаказы[#Headers],0),0),"")</f>
        <v>45394</v>
      </c>
      <c r="C197" t="str">
        <f>MONTH(ТабПозиции[[#This Row],[date]])&amp;"/"&amp;YEAR(ТабПозиции[[#This Row],[date]])</f>
        <v>4/2024</v>
      </c>
      <c r="D197" s="1" t="str">
        <f>IFERROR(VLOOKUP(ТабПозиции[[#This Row],[orderNum]],ТабЗаказы[#Data],MATCH(D$7,ТабЗаказы[#Headers],0),0),"")</f>
        <v/>
      </c>
      <c r="E197" s="1" t="str">
        <f>IFERROR(VLOOKUP(ТабПозиции[[#This Row],[orderNum]],ТабЗаказы[#Data],MATCH(E$7,ТабЗаказы[#Headers],0),0),"")</f>
        <v/>
      </c>
      <c r="F197" s="16" t="s">
        <v>729</v>
      </c>
      <c r="G197" s="40" t="s">
        <v>545</v>
      </c>
      <c r="I197" s="18">
        <v>45399</v>
      </c>
      <c r="J197" s="10">
        <v>1</v>
      </c>
      <c r="K197" s="10">
        <v>565</v>
      </c>
      <c r="L197">
        <v>565</v>
      </c>
      <c r="M197" s="10">
        <v>616</v>
      </c>
      <c r="N197">
        <f t="shared" si="2"/>
        <v>616</v>
      </c>
      <c r="P1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Row],[orderNum]],ТабПозиции[orderSumm])&gt;1500),ABS(N197*VLOOKUP(ТабПозиции[[#This Row],[orderNum]],ТабЗаказы[#Data],MATCH("Percent",ТабЗаказы[#Headers],0),0))/100,200/COUNTIF(ТабПозиции[orderNum],ТабПозиции[[#This Row],[orderNum]])),0),"")</f>
        <v>62</v>
      </c>
      <c r="Q197">
        <f>IF(OR(ТабПозиции[[#This Row],[item]]="По штрихкоду",ТабПозиции[[#This Row],[item]]="Посылка"),ТабПозиции[[#This Row],[deliverySumm]]+ТабПозиции[[#This Row],[deliveryPost]],SUM(N197:P197))</f>
        <v>678</v>
      </c>
      <c r="R197" s="41">
        <v>678</v>
      </c>
      <c r="S197" s="46">
        <f>ТабПозиции[[#This Row],[totalSumm]]-ТабПозиции[[#This Row],[payment]]</f>
        <v>0</v>
      </c>
      <c r="T197" s="18" t="s">
        <v>580</v>
      </c>
      <c r="U197" s="40" t="s">
        <v>545</v>
      </c>
      <c r="V197" s="40" t="s">
        <v>545</v>
      </c>
      <c r="W197" s="40" t="s">
        <v>545</v>
      </c>
      <c r="X197" s="3"/>
      <c r="Y197"/>
    </row>
    <row r="198" spans="1:25" hidden="1" x14ac:dyDescent="0.25">
      <c r="A198" s="10">
        <v>60</v>
      </c>
      <c r="B198" s="1">
        <f>IFERROR(VLOOKUP(ТабПозиции[[#This Row],[orderNum]],ТабЗаказы[#Data],MATCH(B$7,ТабЗаказы[#Headers],0),0),"")</f>
        <v>45395</v>
      </c>
      <c r="C198" t="str">
        <f>MONTH(ТабПозиции[[#This Row],[date]])&amp;"/"&amp;YEAR(ТабПозиции[[#This Row],[date]])</f>
        <v>4/2024</v>
      </c>
      <c r="D198" s="1" t="str">
        <f>IFERROR(VLOOKUP(ТабПозиции[[#This Row],[orderNum]],ТабЗаказы[#Data],MATCH(D$7,ТабЗаказы[#Headers],0),0),"")</f>
        <v/>
      </c>
      <c r="E198" s="1" t="str">
        <f>IFERROR(VLOOKUP(ТабПозиции[[#This Row],[orderNum]],ТабЗаказы[#Data],MATCH(E$7,ТабЗаказы[#Headers],0),0),"")</f>
        <v/>
      </c>
      <c r="F198" s="10" t="s">
        <v>730</v>
      </c>
      <c r="G198" s="40" t="s">
        <v>545</v>
      </c>
      <c r="I198" s="18">
        <v>45403</v>
      </c>
      <c r="J198" s="10">
        <v>1</v>
      </c>
      <c r="K198" s="10">
        <v>771</v>
      </c>
      <c r="L198">
        <v>771</v>
      </c>
      <c r="M198" s="10">
        <v>812</v>
      </c>
      <c r="N198">
        <f t="shared" si="2"/>
        <v>812</v>
      </c>
      <c r="P1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Row],[orderNum]],ТабПозиции[orderSumm])&gt;1500),ABS(N198*VLOOKUP(ТабПозиции[[#This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98">
        <f>IF(OR(ТабПозиции[[#This Row],[item]]="По штрихкоду",ТабПозиции[[#This Row],[item]]="Посылка"),ТабПозиции[[#This Row],[deliverySumm]]+ТабПозиции[[#This Row],[deliveryPost]],SUM(N198:P198))</f>
        <v>1012</v>
      </c>
      <c r="R198" s="41">
        <v>1012</v>
      </c>
      <c r="S198" s="46">
        <f>ТабПозиции[[#This Row],[totalSumm]]-ТабПозиции[[#This Row],[payment]]</f>
        <v>0</v>
      </c>
      <c r="T198" s="18" t="s">
        <v>694</v>
      </c>
      <c r="U198" s="40" t="s">
        <v>545</v>
      </c>
      <c r="V198" s="40" t="s">
        <v>545</v>
      </c>
      <c r="W198" s="40" t="s">
        <v>545</v>
      </c>
      <c r="X198" s="3"/>
      <c r="Y198"/>
    </row>
    <row r="199" spans="1:25" hidden="1" x14ac:dyDescent="0.25">
      <c r="A199" s="10">
        <v>62</v>
      </c>
      <c r="B199" s="1">
        <f>IFERROR(VLOOKUP(ТабПозиции[[#This Row],[orderNum]],ТабЗаказы[#Data],MATCH(B$7,ТабЗаказы[#Headers],0),0),"")</f>
        <v>45394</v>
      </c>
      <c r="C199" t="str">
        <f>MONTH(ТабПозиции[[#This Row],[date]])&amp;"/"&amp;YEAR(ТабПозиции[[#This Row],[date]])</f>
        <v>4/2024</v>
      </c>
      <c r="D199" s="1" t="str">
        <f>IFERROR(VLOOKUP(ТабПозиции[[#This Row],[orderNum]],ТабЗаказы[#Data],MATCH(D$7,ТабЗаказы[#Headers],0),0),"")</f>
        <v/>
      </c>
      <c r="E199" s="1" t="str">
        <f>IFERROR(VLOOKUP(ТабПозиции[[#This Row],[orderNum]],ТабЗаказы[#Data],MATCH(E$7,ТабЗаказы[#Headers],0),0),"")</f>
        <v/>
      </c>
      <c r="F199" s="10" t="s">
        <v>32</v>
      </c>
      <c r="G199" s="40" t="s">
        <v>545</v>
      </c>
      <c r="I199" s="18">
        <v>45394</v>
      </c>
      <c r="J199" s="10">
        <v>1</v>
      </c>
      <c r="K199" s="10">
        <v>0</v>
      </c>
      <c r="L199">
        <v>0</v>
      </c>
      <c r="M199" s="10">
        <v>3000</v>
      </c>
      <c r="N199">
        <f t="shared" si="2"/>
        <v>3000</v>
      </c>
      <c r="P1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Row],[orderNum]],ТабПозиции[orderSumm])&gt;1500),ABS(N199*VLOOKUP(ТабПозиции[[#This Row],[orderNum]],ТабЗаказы[#Data],MATCH("Percent",ТабЗаказы[#Headers],0),0))/100,200/COUNTIF(ТабПозиции[orderNum],ТабПозиции[[#This Row],[orderNum]])),0),"")</f>
        <v>450</v>
      </c>
      <c r="Q199">
        <f>IF(OR(ТабПозиции[[#This Row],[item]]="По штрихкоду",ТабПозиции[[#This Row],[item]]="Посылка"),ТабПозиции[[#This Row],[deliverySumm]]+ТабПозиции[[#This Row],[deliveryPost]],SUM(N199:P199))</f>
        <v>450</v>
      </c>
      <c r="R199" s="41">
        <v>450</v>
      </c>
      <c r="S199" s="46">
        <f>ТабПозиции[[#This Row],[totalSumm]]-ТабПозиции[[#This Row],[payment]]</f>
        <v>0</v>
      </c>
      <c r="T199" s="18" t="s">
        <v>580</v>
      </c>
      <c r="U199" s="40" t="s">
        <v>545</v>
      </c>
      <c r="V199" s="40" t="s">
        <v>545</v>
      </c>
      <c r="W199" s="40" t="s">
        <v>545</v>
      </c>
      <c r="X199" s="3"/>
      <c r="Y199"/>
    </row>
    <row r="200" spans="1:25" hidden="1" x14ac:dyDescent="0.25">
      <c r="A200" s="10">
        <v>63</v>
      </c>
      <c r="B200" s="1">
        <f>IFERROR(VLOOKUP(ТабПозиции[[#This Row],[orderNum]],ТабЗаказы[#Data],MATCH(B$7,ТабЗаказы[#Headers],0),0),"")</f>
        <v>45397</v>
      </c>
      <c r="C200" t="str">
        <f>MONTH(ТабПозиции[[#This Row],[date]])&amp;"/"&amp;YEAR(ТабПозиции[[#This Row],[date]])</f>
        <v>4/2024</v>
      </c>
      <c r="D200" s="1" t="str">
        <f>IFERROR(VLOOKUP(ТабПозиции[[#This Row],[orderNum]],ТабЗаказы[#Data],MATCH(D$7,ТабЗаказы[#Headers],0),0),"")</f>
        <v/>
      </c>
      <c r="E200" s="1" t="str">
        <f>IFERROR(VLOOKUP(ТабПозиции[[#This Row],[orderNum]],ТабЗаказы[#Data],MATCH(E$7,ТабЗаказы[#Headers],0),0),"")</f>
        <v/>
      </c>
      <c r="F200" s="16" t="s">
        <v>731</v>
      </c>
      <c r="G200" s="40" t="s">
        <v>545</v>
      </c>
      <c r="I200" s="18">
        <v>45399</v>
      </c>
      <c r="J200" s="10">
        <v>1</v>
      </c>
      <c r="K200" s="10">
        <v>313</v>
      </c>
      <c r="L200">
        <v>313</v>
      </c>
      <c r="M200" s="10">
        <v>319</v>
      </c>
      <c r="N200">
        <f t="shared" si="2"/>
        <v>319</v>
      </c>
      <c r="P2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Row],[orderNum]],ТабПозиции[orderSumm])&gt;1500),ABS(N200*VLOOKUP(ТабПозиции[[#This Row],[orderNum]],ТабЗаказы[#Data],MATCH("Percent",ТабЗаказы[#Headers],0),0))/100,200/COUNTIF(ТабПозиции[orderNum],ТабПозиции[[#This Row],[orderNum]])),0),"")</f>
        <v>67</v>
      </c>
      <c r="Q200">
        <f>IF(OR(ТабПозиции[[#This Row],[item]]="По штрихкоду",ТабПозиции[[#This Row],[item]]="Посылка"),ТабПозиции[[#This Row],[deliverySumm]]+ТабПозиции[[#This Row],[deliveryPost]],SUM(N200:P200))</f>
        <v>386</v>
      </c>
      <c r="R200" s="41">
        <v>386</v>
      </c>
      <c r="S200" s="46">
        <f>ТабПозиции[[#This Row],[totalSumm]]-ТабПозиции[[#This Row],[payment]]</f>
        <v>0</v>
      </c>
      <c r="T200" s="18" t="s">
        <v>580</v>
      </c>
      <c r="U200" s="40" t="s">
        <v>545</v>
      </c>
      <c r="V200" s="40" t="s">
        <v>545</v>
      </c>
      <c r="W200" s="40" t="s">
        <v>545</v>
      </c>
      <c r="X200" s="3"/>
      <c r="Y200"/>
    </row>
    <row r="201" spans="1:25" hidden="1" x14ac:dyDescent="0.25">
      <c r="A201" s="10">
        <v>63</v>
      </c>
      <c r="B201" s="1">
        <f>IFERROR(VLOOKUP(ТабПозиции[[#This Row],[orderNum]],ТабЗаказы[#Data],MATCH(B$7,ТабЗаказы[#Headers],0),0),"")</f>
        <v>45397</v>
      </c>
      <c r="C201" t="str">
        <f>MONTH(ТабПозиции[[#This Row],[date]])&amp;"/"&amp;YEAR(ТабПозиции[[#This Row],[date]])</f>
        <v>4/2024</v>
      </c>
      <c r="D201" s="1" t="str">
        <f>IFERROR(VLOOKUP(ТабПозиции[[#This Row],[orderNum]],ТабЗаказы[#Data],MATCH(D$7,ТабЗаказы[#Headers],0),0),"")</f>
        <v/>
      </c>
      <c r="E201" s="1" t="str">
        <f>IFERROR(VLOOKUP(ТабПозиции[[#This Row],[orderNum]],ТабЗаказы[#Data],MATCH(E$7,ТабЗаказы[#Headers],0),0),"")</f>
        <v/>
      </c>
      <c r="F201" s="16" t="s">
        <v>732</v>
      </c>
      <c r="G201" s="40" t="s">
        <v>545</v>
      </c>
      <c r="I201" s="18">
        <v>45399</v>
      </c>
      <c r="J201" s="10">
        <v>1</v>
      </c>
      <c r="K201" s="10">
        <v>118</v>
      </c>
      <c r="L201">
        <v>118</v>
      </c>
      <c r="M201" s="10">
        <v>120</v>
      </c>
      <c r="N201">
        <f t="shared" si="2"/>
        <v>120</v>
      </c>
      <c r="P2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Row],[orderNum]],ТабПозиции[orderSumm])&gt;1500),ABS(N201*VLOOKUP(ТабПозиции[[#This Row],[orderNum]],ТабЗаказы[#Data],MATCH("Percent",ТабЗаказы[#Headers],0),0))/100,200/COUNTIF(ТабПозиции[orderNum],ТабПозиции[[#This Row],[orderNum]])),0),"")</f>
        <v>67</v>
      </c>
      <c r="Q201">
        <f>IF(OR(ТабПозиции[[#This Row],[item]]="По штрихкоду",ТабПозиции[[#This Row],[item]]="Посылка"),ТабПозиции[[#This Row],[deliverySumm]]+ТабПозиции[[#This Row],[deliveryPost]],SUM(N201:P201))</f>
        <v>187</v>
      </c>
      <c r="R201" s="41">
        <v>187</v>
      </c>
      <c r="S201" s="46">
        <f>ТабПозиции[[#This Row],[totalSumm]]-ТабПозиции[[#This Row],[payment]]</f>
        <v>0</v>
      </c>
      <c r="T201" s="18" t="s">
        <v>580</v>
      </c>
      <c r="U201" s="40" t="s">
        <v>545</v>
      </c>
      <c r="V201" s="40" t="s">
        <v>545</v>
      </c>
      <c r="W201" s="40" t="s">
        <v>545</v>
      </c>
      <c r="X201" s="3"/>
      <c r="Y201"/>
    </row>
    <row r="202" spans="1:25" hidden="1" x14ac:dyDescent="0.25">
      <c r="A202" s="10">
        <v>63</v>
      </c>
      <c r="B202" s="1">
        <f>IFERROR(VLOOKUP(ТабПозиции[[#This Row],[orderNum]],ТабЗаказы[#Data],MATCH(B$7,ТабЗаказы[#Headers],0),0),"")</f>
        <v>45397</v>
      </c>
      <c r="C202" t="str">
        <f>MONTH(ТабПозиции[[#This Row],[date]])&amp;"/"&amp;YEAR(ТабПозиции[[#This Row],[date]])</f>
        <v>4/2024</v>
      </c>
      <c r="D202" s="1" t="str">
        <f>IFERROR(VLOOKUP(ТабПозиции[[#This Row],[orderNum]],ТабЗаказы[#Data],MATCH(D$7,ТабЗаказы[#Headers],0),0),"")</f>
        <v/>
      </c>
      <c r="E202" s="1" t="str">
        <f>IFERROR(VLOOKUP(ТабПозиции[[#This Row],[orderNum]],ТабЗаказы[#Data],MATCH(E$7,ТабЗаказы[#Headers],0),0),"")</f>
        <v/>
      </c>
      <c r="F202" s="10" t="s">
        <v>733</v>
      </c>
      <c r="G202" s="40" t="s">
        <v>545</v>
      </c>
      <c r="I202" s="18">
        <v>45400</v>
      </c>
      <c r="J202" s="10">
        <v>1</v>
      </c>
      <c r="K202" s="10">
        <v>160</v>
      </c>
      <c r="L202">
        <v>160</v>
      </c>
      <c r="M202" s="10">
        <v>163</v>
      </c>
      <c r="N202">
        <f t="shared" si="2"/>
        <v>163</v>
      </c>
      <c r="P2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Row],[orderNum]],ТабПозиции[orderSumm])&gt;1500),ABS(N202*VLOOKUP(ТабПозиции[[#This Row],[orderNum]],ТабЗаказы[#Data],MATCH("Percent",ТабЗаказы[#Headers],0),0))/100,200/COUNTIF(ТабПозиции[orderNum],ТабПозиции[[#This Row],[orderNum]])),0),"")</f>
        <v>67</v>
      </c>
      <c r="Q202">
        <f>IF(OR(ТабПозиции[[#This Row],[item]]="По штрихкоду",ТабПозиции[[#This Row],[item]]="Посылка"),ТабПозиции[[#This Row],[deliverySumm]]+ТабПозиции[[#This Row],[deliveryPost]],SUM(N202:P202))</f>
        <v>230</v>
      </c>
      <c r="R202" s="41">
        <v>230</v>
      </c>
      <c r="S202" s="46">
        <f>ТабПозиции[[#This Row],[totalSumm]]-ТабПозиции[[#This Row],[payment]]</f>
        <v>0</v>
      </c>
      <c r="T202" s="18" t="s">
        <v>580</v>
      </c>
      <c r="U202" s="40" t="s">
        <v>545</v>
      </c>
      <c r="V202" s="40" t="s">
        <v>545</v>
      </c>
      <c r="W202" s="40" t="s">
        <v>545</v>
      </c>
      <c r="X202" s="3"/>
      <c r="Y202"/>
    </row>
    <row r="203" spans="1:25" hidden="1" x14ac:dyDescent="0.25">
      <c r="A203" s="10">
        <v>64</v>
      </c>
      <c r="B203" s="1">
        <f>IFERROR(VLOOKUP(ТабПозиции[[#This Row],[orderNum]],ТабЗаказы[#Data],MATCH(B$7,ТабЗаказы[#Headers],0),0),"")</f>
        <v>45398</v>
      </c>
      <c r="C203" t="str">
        <f>MONTH(ТабПозиции[[#This Row],[date]])&amp;"/"&amp;YEAR(ТабПозиции[[#This Row],[date]])</f>
        <v>4/2024</v>
      </c>
      <c r="D203" s="1" t="str">
        <f>IFERROR(VLOOKUP(ТабПозиции[[#This Row],[orderNum]],ТабЗаказы[#Data],MATCH(D$7,ТабЗаказы[#Headers],0),0),"")</f>
        <v/>
      </c>
      <c r="E203" s="1" t="str">
        <f>IFERROR(VLOOKUP(ТабПозиции[[#This Row],[orderNum]],ТабЗаказы[#Data],MATCH(E$7,ТабЗаказы[#Headers],0),0),"")</f>
        <v/>
      </c>
      <c r="F203" s="16" t="s">
        <v>734</v>
      </c>
      <c r="G203" s="40" t="s">
        <v>545</v>
      </c>
      <c r="I203" s="18">
        <v>45401</v>
      </c>
      <c r="J203" s="10">
        <v>1</v>
      </c>
      <c r="K203" s="10">
        <v>422</v>
      </c>
      <c r="L203">
        <v>422</v>
      </c>
      <c r="M203" s="10">
        <v>436</v>
      </c>
      <c r="N203">
        <f t="shared" si="2"/>
        <v>436</v>
      </c>
      <c r="P2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Row],[orderNum]],ТабПозиции[orderSumm])&gt;1500),ABS(N203*VLOOKUP(ТабПозиции[[#This Row],[orderNum]],ТабЗаказы[#Data],MATCH("Percent",ТабЗаказы[#Headers],0),0))/100,200/COUNTIF(ТабПозиции[orderNum],ТабПозиции[[#This Row],[orderNum]])),0),"")</f>
        <v>65</v>
      </c>
      <c r="Q203">
        <f>IF(OR(ТабПозиции[[#This Row],[item]]="По штрихкоду",ТабПозиции[[#This Row],[item]]="Посылка"),ТабПозиции[[#This Row],[deliverySumm]]+ТабПозиции[[#This Row],[deliveryPost]],SUM(N203:P203))</f>
        <v>501</v>
      </c>
      <c r="R203" s="41">
        <v>501</v>
      </c>
      <c r="S203" s="46">
        <f>ТабПозиции[[#This Row],[totalSumm]]-ТабПозиции[[#This Row],[payment]]</f>
        <v>0</v>
      </c>
      <c r="T203" s="18" t="s">
        <v>563</v>
      </c>
      <c r="U203" s="40" t="s">
        <v>545</v>
      </c>
      <c r="V203" s="40" t="s">
        <v>545</v>
      </c>
      <c r="W203" s="40" t="s">
        <v>545</v>
      </c>
      <c r="X203" s="3"/>
      <c r="Y203"/>
    </row>
    <row r="204" spans="1:25" hidden="1" x14ac:dyDescent="0.25">
      <c r="A204" s="10">
        <v>64</v>
      </c>
      <c r="B204" s="1">
        <f>IFERROR(VLOOKUP(ТабПозиции[[#This Row],[orderNum]],ТабЗаказы[#Data],MATCH(B$7,ТабЗаказы[#Headers],0),0),"")</f>
        <v>45398</v>
      </c>
      <c r="C204" t="str">
        <f>MONTH(ТабПозиции[[#This Row],[date]])&amp;"/"&amp;YEAR(ТабПозиции[[#This Row],[date]])</f>
        <v>4/2024</v>
      </c>
      <c r="D204" s="1" t="str">
        <f>IFERROR(VLOOKUP(ТабПозиции[[#This Row],[orderNum]],ТабЗаказы[#Data],MATCH(D$7,ТабЗаказы[#Headers],0),0),"")</f>
        <v/>
      </c>
      <c r="E204" s="1" t="str">
        <f>IFERROR(VLOOKUP(ТабПозиции[[#This Row],[orderNum]],ТабЗаказы[#Data],MATCH(E$7,ТабЗаказы[#Headers],0),0),"")</f>
        <v/>
      </c>
      <c r="F204" s="16" t="s">
        <v>735</v>
      </c>
      <c r="G204" s="40" t="s">
        <v>545</v>
      </c>
      <c r="I204" s="18">
        <v>45401</v>
      </c>
      <c r="J204" s="10">
        <v>1</v>
      </c>
      <c r="K204" s="10">
        <v>260</v>
      </c>
      <c r="L204">
        <v>260</v>
      </c>
      <c r="M204" s="10">
        <v>269</v>
      </c>
      <c r="N204">
        <f t="shared" ref="N204:N267" si="3">M204*J204</f>
        <v>269</v>
      </c>
      <c r="P2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Row],[orderNum]],ТабПозиции[orderSumm])&gt;1500),ABS(N204*VLOOKUP(ТабПозиции[[#This Row],[orderNum]],ТабЗаказы[#Data],MATCH("Percent",ТабЗаказы[#Headers],0),0))/100,200/COUNTIF(ТабПозиции[orderNum],ТабПозиции[[#This Row],[orderNum]])),0),"")</f>
        <v>40</v>
      </c>
      <c r="Q204">
        <f>IF(OR(ТабПозиции[[#This Row],[item]]="По штрихкоду",ТабПозиции[[#This Row],[item]]="Посылка"),ТабПозиции[[#This Row],[deliverySumm]]+ТабПозиции[[#This Row],[deliveryPost]],SUM(N204:P204))</f>
        <v>309</v>
      </c>
      <c r="R204" s="41">
        <v>309</v>
      </c>
      <c r="S204" s="46">
        <f>ТабПозиции[[#This Row],[totalSumm]]-ТабПозиции[[#This Row],[payment]]</f>
        <v>0</v>
      </c>
      <c r="T204" s="18" t="s">
        <v>563</v>
      </c>
      <c r="U204" s="40" t="s">
        <v>545</v>
      </c>
      <c r="V204" s="40" t="s">
        <v>545</v>
      </c>
      <c r="W204" s="40" t="s">
        <v>545</v>
      </c>
      <c r="X204" s="3"/>
      <c r="Y204"/>
    </row>
    <row r="205" spans="1:25" hidden="1" x14ac:dyDescent="0.25">
      <c r="A205" s="10">
        <v>64</v>
      </c>
      <c r="B205" s="1">
        <f>IFERROR(VLOOKUP(ТабПозиции[[#This Row],[orderNum]],ТабЗаказы[#Data],MATCH(B$7,ТабЗаказы[#Headers],0),0),"")</f>
        <v>45398</v>
      </c>
      <c r="C205" t="str">
        <f>MONTH(ТабПозиции[[#This Row],[date]])&amp;"/"&amp;YEAR(ТабПозиции[[#This Row],[date]])</f>
        <v>4/2024</v>
      </c>
      <c r="D205" s="1" t="str">
        <f>IFERROR(VLOOKUP(ТабПозиции[[#This Row],[orderNum]],ТабЗаказы[#Data],MATCH(D$7,ТабЗаказы[#Headers],0),0),"")</f>
        <v/>
      </c>
      <c r="E205" s="1" t="str">
        <f>IFERROR(VLOOKUP(ТабПозиции[[#This Row],[orderNum]],ТабЗаказы[#Data],MATCH(E$7,ТабЗаказы[#Headers],0),0),"")</f>
        <v/>
      </c>
      <c r="F205" s="16" t="s">
        <v>736</v>
      </c>
      <c r="G205" s="40" t="s">
        <v>545</v>
      </c>
      <c r="I205" s="18">
        <v>45401</v>
      </c>
      <c r="J205" s="10">
        <v>1</v>
      </c>
      <c r="K205" s="10">
        <v>241</v>
      </c>
      <c r="L205">
        <v>241</v>
      </c>
      <c r="M205" s="10">
        <v>249</v>
      </c>
      <c r="N205">
        <f t="shared" si="3"/>
        <v>249</v>
      </c>
      <c r="P2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Row],[orderNum]],ТабПозиции[orderSumm])&gt;1500),ABS(N205*VLOOKUP(ТабПозиции[[#This Row],[orderNum]],ТабЗаказы[#Data],MATCH("Percent",ТабЗаказы[#Headers],0),0))/100,200/COUNTIF(ТабПозиции[orderNum],ТабПозиции[[#This Row],[orderNum]])),0),"")</f>
        <v>37</v>
      </c>
      <c r="Q205">
        <f>IF(OR(ТабПозиции[[#This Row],[item]]="По штрихкоду",ТабПозиции[[#This Row],[item]]="Посылка"),ТабПозиции[[#This Row],[deliverySumm]]+ТабПозиции[[#This Row],[deliveryPost]],SUM(N205:P205))</f>
        <v>286</v>
      </c>
      <c r="R205" s="41">
        <v>286</v>
      </c>
      <c r="S205" s="46">
        <f>ТабПозиции[[#This Row],[totalSumm]]-ТабПозиции[[#This Row],[payment]]</f>
        <v>0</v>
      </c>
      <c r="T205" s="18" t="s">
        <v>563</v>
      </c>
      <c r="U205" s="40" t="s">
        <v>545</v>
      </c>
      <c r="V205" s="40" t="s">
        <v>545</v>
      </c>
      <c r="W205" s="40" t="s">
        <v>545</v>
      </c>
      <c r="X205" s="3"/>
      <c r="Y205"/>
    </row>
    <row r="206" spans="1:25" hidden="1" x14ac:dyDescent="0.25">
      <c r="A206" s="10">
        <v>64</v>
      </c>
      <c r="B206" s="1">
        <f>IFERROR(VLOOKUP(ТабПозиции[[#This Row],[orderNum]],ТабЗаказы[#Data],MATCH(B$7,ТабЗаказы[#Headers],0),0),"")</f>
        <v>45398</v>
      </c>
      <c r="C206" t="str">
        <f>MONTH(ТабПозиции[[#This Row],[date]])&amp;"/"&amp;YEAR(ТабПозиции[[#This Row],[date]])</f>
        <v>4/2024</v>
      </c>
      <c r="D206" s="1" t="str">
        <f>IFERROR(VLOOKUP(ТабПозиции[[#This Row],[orderNum]],ТабЗаказы[#Data],MATCH(D$7,ТабЗаказы[#Headers],0),0),"")</f>
        <v/>
      </c>
      <c r="E206" s="1" t="str">
        <f>IFERROR(VLOOKUP(ТабПозиции[[#This Row],[orderNum]],ТабЗаказы[#Data],MATCH(E$7,ТабЗаказы[#Headers],0),0),"")</f>
        <v/>
      </c>
      <c r="F206" s="16" t="s">
        <v>737</v>
      </c>
      <c r="G206" s="40" t="s">
        <v>545</v>
      </c>
      <c r="I206" s="18">
        <v>45400</v>
      </c>
      <c r="J206" s="10">
        <v>1</v>
      </c>
      <c r="K206" s="10">
        <v>1306</v>
      </c>
      <c r="L206">
        <v>1306</v>
      </c>
      <c r="M206" s="10">
        <v>1347</v>
      </c>
      <c r="N206">
        <f t="shared" si="3"/>
        <v>1347</v>
      </c>
      <c r="P2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Row],[orderNum]],ТабПозиции[orderSumm])&gt;1500),ABS(N206*VLOOKUP(ТабПозиции[[#This Row],[orderNum]],ТабЗаказы[#Data],MATCH("Percent",ТабЗаказы[#Headers],0),0))/100,200/COUNTIF(ТабПозиции[orderNum],ТабПозиции[[#This Row],[orderNum]])),0),"")</f>
        <v>202</v>
      </c>
      <c r="Q206">
        <f>IF(OR(ТабПозиции[[#This Row],[item]]="По штрихкоду",ТабПозиции[[#This Row],[item]]="Посылка"),ТабПозиции[[#This Row],[deliverySumm]]+ТабПозиции[[#This Row],[deliveryPost]],SUM(N206:P206))</f>
        <v>1549</v>
      </c>
      <c r="R206" s="41">
        <v>1549</v>
      </c>
      <c r="S206" s="46">
        <f>ТабПозиции[[#This Row],[totalSumm]]-ТабПозиции[[#This Row],[payment]]</f>
        <v>0</v>
      </c>
      <c r="T206" s="18" t="s">
        <v>563</v>
      </c>
      <c r="U206" s="40" t="s">
        <v>545</v>
      </c>
      <c r="V206" s="40" t="s">
        <v>545</v>
      </c>
      <c r="W206" s="40" t="s">
        <v>545</v>
      </c>
      <c r="X206" s="3"/>
      <c r="Y206"/>
    </row>
    <row r="207" spans="1:25" hidden="1" x14ac:dyDescent="0.25">
      <c r="A207" s="10">
        <v>64</v>
      </c>
      <c r="B207" s="1">
        <f>IFERROR(VLOOKUP(ТабПозиции[[#This Row],[orderNum]],ТабЗаказы[#Data],MATCH(B$7,ТабЗаказы[#Headers],0),0),"")</f>
        <v>45398</v>
      </c>
      <c r="C207" t="str">
        <f>MONTH(ТабПозиции[[#This Row],[date]])&amp;"/"&amp;YEAR(ТабПозиции[[#This Row],[date]])</f>
        <v>4/2024</v>
      </c>
      <c r="D207" s="1" t="str">
        <f>IFERROR(VLOOKUP(ТабПозиции[[#This Row],[orderNum]],ТабЗаказы[#Data],MATCH(D$7,ТабЗаказы[#Headers],0),0),"")</f>
        <v/>
      </c>
      <c r="E207" s="1" t="str">
        <f>IFERROR(VLOOKUP(ТабПозиции[[#This Row],[orderNum]],ТабЗаказы[#Data],MATCH(E$7,ТабЗаказы[#Headers],0),0),"")</f>
        <v/>
      </c>
      <c r="F207" s="16" t="s">
        <v>738</v>
      </c>
      <c r="G207" s="40" t="s">
        <v>545</v>
      </c>
      <c r="I207" s="18">
        <v>45400</v>
      </c>
      <c r="J207" s="10">
        <v>1</v>
      </c>
      <c r="K207" s="10">
        <v>1551</v>
      </c>
      <c r="L207">
        <v>1551</v>
      </c>
      <c r="M207" s="10">
        <v>1599</v>
      </c>
      <c r="N207">
        <f t="shared" si="3"/>
        <v>1599</v>
      </c>
      <c r="P2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Row],[orderNum]],ТабПозиции[orderSumm])&gt;1500),ABS(N207*VLOOKUP(ТабПозиции[[#This Row],[orderNum]],ТабЗаказы[#Data],MATCH("Percent",ТабЗаказы[#Headers],0),0))/100,200/COUNTIF(ТабПозиции[orderNum],ТабПозиции[[#This Row],[orderNum]])),0),"")</f>
        <v>240</v>
      </c>
      <c r="Q207">
        <f>IF(OR(ТабПозиции[[#This Row],[item]]="По штрихкоду",ТабПозиции[[#This Row],[item]]="Посылка"),ТабПозиции[[#This Row],[deliverySumm]]+ТабПозиции[[#This Row],[deliveryPost]],SUM(N207:P207))</f>
        <v>1839</v>
      </c>
      <c r="R207" s="41">
        <v>1839</v>
      </c>
      <c r="S207" s="46">
        <f>ТабПозиции[[#This Row],[totalSumm]]-ТабПозиции[[#This Row],[payment]]</f>
        <v>0</v>
      </c>
      <c r="T207" s="18" t="s">
        <v>563</v>
      </c>
      <c r="U207" s="40" t="s">
        <v>545</v>
      </c>
      <c r="V207" s="40" t="s">
        <v>545</v>
      </c>
      <c r="W207" s="40" t="s">
        <v>545</v>
      </c>
      <c r="X207" s="3"/>
      <c r="Y207"/>
    </row>
    <row r="208" spans="1:25" hidden="1" x14ac:dyDescent="0.25">
      <c r="A208" s="10">
        <v>61</v>
      </c>
      <c r="B208" s="1">
        <f>IFERROR(VLOOKUP(ТабПозиции[[#This Row],[orderNum]],ТабЗаказы[#Data],MATCH(B$7,ТабЗаказы[#Headers],0),0),"")</f>
        <v>45400</v>
      </c>
      <c r="C208" t="str">
        <f>MONTH(ТабПозиции[[#This Row],[date]])&amp;"/"&amp;YEAR(ТабПозиции[[#This Row],[date]])</f>
        <v>4/2024</v>
      </c>
      <c r="D208" s="1" t="str">
        <f>IFERROR(VLOOKUP(ТабПозиции[[#This Row],[orderNum]],ТабЗаказы[#Data],MATCH(D$7,ТабЗаказы[#Headers],0),0),"")</f>
        <v/>
      </c>
      <c r="E208" s="1" t="str">
        <f>IFERROR(VLOOKUP(ТабПозиции[[#This Row],[orderNum]],ТабЗаказы[#Data],MATCH(E$7,ТабЗаказы[#Headers],0),0),"")</f>
        <v/>
      </c>
      <c r="F208" s="16" t="s">
        <v>579</v>
      </c>
      <c r="G208" s="40" t="s">
        <v>545</v>
      </c>
      <c r="I208" s="18">
        <v>45403</v>
      </c>
      <c r="J208" s="10">
        <v>1</v>
      </c>
      <c r="K208" s="10">
        <v>295</v>
      </c>
      <c r="L208">
        <v>295</v>
      </c>
      <c r="M208" s="10">
        <v>305</v>
      </c>
      <c r="N208">
        <f t="shared" si="3"/>
        <v>305</v>
      </c>
      <c r="P2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Row],[orderNum]],ТабПозиции[orderSumm])&gt;1500),ABS(N208*VLOOKUP(ТабПозиции[[#This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208">
        <f>IF(OR(ТабПозиции[[#This Row],[item]]="По штрихкоду",ТабПозиции[[#This Row],[item]]="Посылка"),ТабПозиции[[#This Row],[deliverySumm]]+ТабПозиции[[#This Row],[deliveryPost]],SUM(N208:P208))</f>
        <v>505</v>
      </c>
      <c r="R208" s="41">
        <v>505</v>
      </c>
      <c r="S208" s="46">
        <f>ТабПозиции[[#This Row],[totalSumm]]-ТабПозиции[[#This Row],[payment]]</f>
        <v>0</v>
      </c>
      <c r="T208" s="18" t="s">
        <v>563</v>
      </c>
      <c r="U208" s="40" t="s">
        <v>545</v>
      </c>
      <c r="V208" s="40" t="s">
        <v>545</v>
      </c>
      <c r="W208" s="40" t="s">
        <v>545</v>
      </c>
      <c r="X208" s="3"/>
      <c r="Y208"/>
    </row>
    <row r="209" spans="1:25" hidden="1" x14ac:dyDescent="0.25">
      <c r="A209" s="10">
        <v>65</v>
      </c>
      <c r="B209" s="1">
        <f>IFERROR(VLOOKUP(ТабПозиции[[#This Row],[orderNum]],ТабЗаказы[#Data],MATCH(B$7,ТабЗаказы[#Headers],0),0),"")</f>
        <v>45400</v>
      </c>
      <c r="C209" t="str">
        <f>MONTH(ТабПозиции[[#This Row],[date]])&amp;"/"&amp;YEAR(ТабПозиции[[#This Row],[date]])</f>
        <v>4/2024</v>
      </c>
      <c r="D209" s="1" t="str">
        <f>IFERROR(VLOOKUP(ТабПозиции[[#This Row],[orderNum]],ТабЗаказы[#Data],MATCH(D$7,ТабЗаказы[#Headers],0),0),"")</f>
        <v/>
      </c>
      <c r="E209" s="1" t="str">
        <f>IFERROR(VLOOKUP(ТабПозиции[[#This Row],[orderNum]],ТабЗаказы[#Data],MATCH(E$7,ТабЗаказы[#Headers],0),0),"")</f>
        <v/>
      </c>
      <c r="F209" s="16" t="s">
        <v>713</v>
      </c>
      <c r="G209" s="40" t="s">
        <v>545</v>
      </c>
      <c r="I209" s="18">
        <v>45405</v>
      </c>
      <c r="J209" s="10">
        <v>1</v>
      </c>
      <c r="K209" s="10">
        <v>1300</v>
      </c>
      <c r="L209">
        <v>1300</v>
      </c>
      <c r="M209" s="10">
        <v>1412</v>
      </c>
      <c r="N209">
        <f t="shared" si="3"/>
        <v>1412</v>
      </c>
      <c r="P2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Row],[orderNum]],ТабПозиции[orderSumm])&gt;1500),ABS(N209*VLOOKUP(ТабПозиции[[#This Row],[orderNum]],ТабЗаказы[#Data],MATCH("Percent",ТабЗаказы[#Headers],0),0))/100,200/COUNTIF(ТабПозиции[orderNum],ТабПозиции[[#This Row],[orderNum]])),0),"")</f>
        <v>212</v>
      </c>
      <c r="Q209">
        <f>IF(OR(ТабПозиции[[#This Row],[item]]="По штрихкоду",ТабПозиции[[#This Row],[item]]="Посылка"),ТабПозиции[[#This Row],[deliverySumm]]+ТабПозиции[[#This Row],[deliveryPost]],SUM(N209:P209))</f>
        <v>1624</v>
      </c>
      <c r="R209" s="41">
        <v>1624</v>
      </c>
      <c r="S209" s="46">
        <f>ТабПозиции[[#This Row],[totalSumm]]-ТабПозиции[[#This Row],[payment]]</f>
        <v>0</v>
      </c>
      <c r="T209" s="18" t="s">
        <v>580</v>
      </c>
      <c r="U209" s="40" t="s">
        <v>545</v>
      </c>
      <c r="V209" s="40" t="s">
        <v>545</v>
      </c>
      <c r="W209" s="40" t="s">
        <v>545</v>
      </c>
      <c r="X209" s="3"/>
      <c r="Y209"/>
    </row>
    <row r="210" spans="1:25" hidden="1" x14ac:dyDescent="0.25">
      <c r="A210" s="10">
        <v>65</v>
      </c>
      <c r="B210" s="1">
        <f>IFERROR(VLOOKUP(ТабПозиции[[#This Row],[orderNum]],ТабЗаказы[#Data],MATCH(B$7,ТабЗаказы[#Headers],0),0),"")</f>
        <v>45400</v>
      </c>
      <c r="C210" t="str">
        <f>MONTH(ТабПозиции[[#This Row],[date]])&amp;"/"&amp;YEAR(ТабПозиции[[#This Row],[date]])</f>
        <v>4/2024</v>
      </c>
      <c r="D210" s="1" t="str">
        <f>IFERROR(VLOOKUP(ТабПозиции[[#This Row],[orderNum]],ТабЗаказы[#Data],MATCH(D$7,ТабЗаказы[#Headers],0),0),"")</f>
        <v/>
      </c>
      <c r="E210" s="1" t="str">
        <f>IFERROR(VLOOKUP(ТабПозиции[[#This Row],[orderNum]],ТабЗаказы[#Data],MATCH(E$7,ТабЗаказы[#Headers],0),0),"")</f>
        <v/>
      </c>
      <c r="F210" s="16" t="s">
        <v>739</v>
      </c>
      <c r="G210" s="40" t="s">
        <v>545</v>
      </c>
      <c r="I210" s="18">
        <v>45402</v>
      </c>
      <c r="J210" s="10">
        <v>1</v>
      </c>
      <c r="K210" s="10">
        <v>435</v>
      </c>
      <c r="L210">
        <v>435</v>
      </c>
      <c r="M210" s="10">
        <v>473</v>
      </c>
      <c r="N210">
        <f t="shared" si="3"/>
        <v>473</v>
      </c>
      <c r="P2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Row],[orderNum]],ТабПозиции[orderSumm])&gt;1500),ABS(N210*VLOOKUP(ТабПозиции[[#This Row],[orderNum]],ТабЗаказы[#Data],MATCH("Percent",ТабЗаказы[#Headers],0),0))/100,200/COUNTIF(ТабПозиции[orderNum],ТабПозиции[[#This Row],[orderNum]])),0),"")</f>
        <v>71</v>
      </c>
      <c r="Q210">
        <f>IF(OR(ТабПозиции[[#This Row],[item]]="По штрихкоду",ТабПозиции[[#This Row],[item]]="Посылка"),ТабПозиции[[#This Row],[deliverySumm]]+ТабПозиции[[#This Row],[deliveryPost]],SUM(N210:P210))</f>
        <v>544</v>
      </c>
      <c r="R210" s="41">
        <v>544</v>
      </c>
      <c r="S210" s="46">
        <f>ТабПозиции[[#This Row],[totalSumm]]-ТабПозиции[[#This Row],[payment]]</f>
        <v>0</v>
      </c>
      <c r="T210" s="18" t="s">
        <v>580</v>
      </c>
      <c r="U210" s="40" t="s">
        <v>545</v>
      </c>
      <c r="V210" s="40" t="s">
        <v>545</v>
      </c>
      <c r="W210" s="40" t="s">
        <v>545</v>
      </c>
      <c r="X210" s="3"/>
      <c r="Y210"/>
    </row>
    <row r="211" spans="1:25" hidden="1" x14ac:dyDescent="0.25">
      <c r="A211" s="10">
        <v>65</v>
      </c>
      <c r="B211" s="1">
        <f>IFERROR(VLOOKUP(ТабПозиции[[#This Row],[orderNum]],ТабЗаказы[#Data],MATCH(B$7,ТабЗаказы[#Headers],0),0),"")</f>
        <v>45400</v>
      </c>
      <c r="C211" t="str">
        <f>MONTH(ТабПозиции[[#This Row],[date]])&amp;"/"&amp;YEAR(ТабПозиции[[#This Row],[date]])</f>
        <v>4/2024</v>
      </c>
      <c r="D211" s="1" t="str">
        <f>IFERROR(VLOOKUP(ТабПозиции[[#This Row],[orderNum]],ТабЗаказы[#Data],MATCH(D$7,ТабЗаказы[#Headers],0),0),"")</f>
        <v/>
      </c>
      <c r="E211" s="1" t="str">
        <f>IFERROR(VLOOKUP(ТабПозиции[[#This Row],[orderNum]],ТабЗаказы[#Data],MATCH(E$7,ТабЗаказы[#Headers],0),0),"")</f>
        <v/>
      </c>
      <c r="F211" s="16" t="s">
        <v>740</v>
      </c>
      <c r="G211" s="40" t="s">
        <v>545</v>
      </c>
      <c r="I211" s="18">
        <v>45406</v>
      </c>
      <c r="J211" s="10">
        <v>1</v>
      </c>
      <c r="K211" s="10">
        <v>424</v>
      </c>
      <c r="L211">
        <v>424</v>
      </c>
      <c r="M211" s="10">
        <v>459</v>
      </c>
      <c r="N211">
        <f t="shared" si="3"/>
        <v>459</v>
      </c>
      <c r="P2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Row],[orderNum]],ТабПозиции[orderSumm])&gt;1500),ABS(N211*VLOOKUP(ТабПозиции[[#This Row],[orderNum]],ТабЗаказы[#Data],MATCH("Percent",ТабЗаказы[#Headers],0),0))/100,200/COUNTIF(ТабПозиции[orderNum],ТабПозиции[[#This Row],[orderNum]])),0),"")</f>
        <v>69</v>
      </c>
      <c r="Q211">
        <f>IF(OR(ТабПозиции[[#This Row],[item]]="По штрихкоду",ТабПозиции[[#This Row],[item]]="Посылка"),ТабПозиции[[#This Row],[deliverySumm]]+ТабПозиции[[#This Row],[deliveryPost]],SUM(N211:P211))</f>
        <v>528</v>
      </c>
      <c r="R211" s="41">
        <v>528</v>
      </c>
      <c r="S211" s="46">
        <f>ТабПозиции[[#This Row],[totalSumm]]-ТабПозиции[[#This Row],[payment]]</f>
        <v>0</v>
      </c>
      <c r="T211" s="18" t="s">
        <v>580</v>
      </c>
      <c r="U211" s="40" t="s">
        <v>545</v>
      </c>
      <c r="V211" s="40" t="s">
        <v>545</v>
      </c>
      <c r="W211" s="40" t="s">
        <v>545</v>
      </c>
      <c r="X211" s="3"/>
      <c r="Y211"/>
    </row>
    <row r="212" spans="1:25" hidden="1" x14ac:dyDescent="0.25">
      <c r="A212" s="10">
        <v>65</v>
      </c>
      <c r="B212" s="1">
        <f>IFERROR(VLOOKUP(ТабПозиции[[#This Row],[orderNum]],ТабЗаказы[#Data],MATCH(B$7,ТабЗаказы[#Headers],0),0),"")</f>
        <v>45400</v>
      </c>
      <c r="C212" t="str">
        <f>MONTH(ТабПозиции[[#This Row],[date]])&amp;"/"&amp;YEAR(ТабПозиции[[#This Row],[date]])</f>
        <v>4/2024</v>
      </c>
      <c r="D212" s="1" t="str">
        <f>IFERROR(VLOOKUP(ТабПозиции[[#This Row],[orderNum]],ТабЗаказы[#Data],MATCH(D$7,ТабЗаказы[#Headers],0),0),"")</f>
        <v/>
      </c>
      <c r="E212" s="1" t="str">
        <f>IFERROR(VLOOKUP(ТабПозиции[[#This Row],[orderNum]],ТабЗаказы[#Data],MATCH(E$7,ТабЗаказы[#Headers],0),0),"")</f>
        <v/>
      </c>
      <c r="F212" s="16" t="s">
        <v>741</v>
      </c>
      <c r="G212" s="40" t="s">
        <v>545</v>
      </c>
      <c r="I212" s="18">
        <v>45406</v>
      </c>
      <c r="J212" s="10">
        <v>1</v>
      </c>
      <c r="K212" s="10">
        <v>2897</v>
      </c>
      <c r="L212">
        <v>2897</v>
      </c>
      <c r="M212" s="10">
        <v>3137</v>
      </c>
      <c r="N212">
        <f t="shared" si="3"/>
        <v>3137</v>
      </c>
      <c r="P2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Row],[orderNum]],ТабПозиции[orderSumm])&gt;1500),ABS(N212*VLOOKUP(ТабПозиции[[#This Row],[orderNum]],ТабЗаказы[#Data],MATCH("Percent",ТабЗаказы[#Headers],0),0))/100,200/COUNTIF(ТабПозиции[orderNum],ТабПозиции[[#This Row],[orderNum]])),0),"")</f>
        <v>471</v>
      </c>
      <c r="Q212">
        <f>IF(OR(ТабПозиции[[#This Row],[item]]="По штрихкоду",ТабПозиции[[#This Row],[item]]="Посылка"),ТабПозиции[[#This Row],[deliverySumm]]+ТабПозиции[[#This Row],[deliveryPost]],SUM(N212:P212))</f>
        <v>3608</v>
      </c>
      <c r="R212" s="41">
        <v>3608</v>
      </c>
      <c r="S212" s="46">
        <f>ТабПозиции[[#This Row],[totalSumm]]-ТабПозиции[[#This Row],[payment]]</f>
        <v>0</v>
      </c>
      <c r="T212" s="18" t="s">
        <v>580</v>
      </c>
      <c r="U212" s="40" t="s">
        <v>545</v>
      </c>
      <c r="V212" s="40" t="s">
        <v>545</v>
      </c>
      <c r="W212" s="40" t="s">
        <v>545</v>
      </c>
      <c r="X212" s="3"/>
      <c r="Y212"/>
    </row>
    <row r="213" spans="1:25" hidden="1" x14ac:dyDescent="0.25">
      <c r="A213" s="10">
        <v>66</v>
      </c>
      <c r="B213" s="1">
        <f>IFERROR(VLOOKUP(ТабПозиции[[#This Row],[orderNum]],ТабЗаказы[#Data],MATCH(B$7,ТабЗаказы[#Headers],0),0),"")</f>
        <v>45400</v>
      </c>
      <c r="C213" t="str">
        <f>MONTH(ТабПозиции[[#This Row],[date]])&amp;"/"&amp;YEAR(ТабПозиции[[#This Row],[date]])</f>
        <v>4/2024</v>
      </c>
      <c r="D213" s="1" t="str">
        <f>IFERROR(VLOOKUP(ТабПозиции[[#This Row],[orderNum]],ТабЗаказы[#Data],MATCH(D$7,ТабЗаказы[#Headers],0),0),"")</f>
        <v/>
      </c>
      <c r="E213" s="1" t="str">
        <f>IFERROR(VLOOKUP(ТабПозиции[[#This Row],[orderNum]],ТабЗаказы[#Data],MATCH(E$7,ТабЗаказы[#Headers],0),0),"")</f>
        <v/>
      </c>
      <c r="F213" s="16" t="s">
        <v>742</v>
      </c>
      <c r="G213" s="40" t="s">
        <v>545</v>
      </c>
      <c r="I213" s="18">
        <v>45405</v>
      </c>
      <c r="J213" s="10">
        <v>1</v>
      </c>
      <c r="K213" s="10">
        <v>2335</v>
      </c>
      <c r="L213">
        <v>2335</v>
      </c>
      <c r="M213" s="10">
        <v>2533</v>
      </c>
      <c r="N213">
        <f t="shared" si="3"/>
        <v>2533</v>
      </c>
      <c r="P2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Row],[orderNum]],ТабПозиции[orderSumm])&gt;1500),ABS(N213*VLOOKUP(ТабПозиции[[#This Row],[orderNum]],ТабЗаказы[#Data],MATCH("Percent",ТабЗаказы[#Headers],0),0))/100,200/COUNTIF(ТабПозиции[orderNum],ТабПозиции[[#This Row],[orderNum]])),0),"")</f>
        <v>380</v>
      </c>
      <c r="Q213">
        <f>IF(OR(ТабПозиции[[#This Row],[item]]="По штрихкоду",ТабПозиции[[#This Row],[item]]="Посылка"),ТабПозиции[[#This Row],[deliverySumm]]+ТабПозиции[[#This Row],[deliveryPost]],SUM(N213:P213))</f>
        <v>2913</v>
      </c>
      <c r="R213" s="41">
        <v>2913</v>
      </c>
      <c r="S213" s="46">
        <f>ТабПозиции[[#This Row],[totalSumm]]-ТабПозиции[[#This Row],[payment]]</f>
        <v>0</v>
      </c>
      <c r="T213" s="18" t="s">
        <v>580</v>
      </c>
      <c r="U213" s="40" t="s">
        <v>545</v>
      </c>
      <c r="V213" s="40" t="s">
        <v>545</v>
      </c>
      <c r="W213" s="40" t="s">
        <v>545</v>
      </c>
      <c r="X213" s="3"/>
      <c r="Y213"/>
    </row>
    <row r="214" spans="1:25" hidden="1" x14ac:dyDescent="0.25">
      <c r="A214" s="10">
        <v>66</v>
      </c>
      <c r="B214" s="1">
        <f>IFERROR(VLOOKUP(ТабПозиции[[#This Row],[orderNum]],ТабЗаказы[#Data],MATCH(B$7,ТабЗаказы[#Headers],0),0),"")</f>
        <v>45400</v>
      </c>
      <c r="C214" t="str">
        <f>MONTH(ТабПозиции[[#This Row],[date]])&amp;"/"&amp;YEAR(ТабПозиции[[#This Row],[date]])</f>
        <v>4/2024</v>
      </c>
      <c r="D214" s="1" t="str">
        <f>IFERROR(VLOOKUP(ТабПозиции[[#This Row],[orderNum]],ТабЗаказы[#Data],MATCH(D$7,ТабЗаказы[#Headers],0),0),"")</f>
        <v/>
      </c>
      <c r="E214" s="1" t="str">
        <f>IFERROR(VLOOKUP(ТабПозиции[[#This Row],[orderNum]],ТабЗаказы[#Data],MATCH(E$7,ТабЗаказы[#Headers],0),0),"")</f>
        <v/>
      </c>
      <c r="F214" s="16" t="s">
        <v>743</v>
      </c>
      <c r="G214" s="40" t="s">
        <v>545</v>
      </c>
      <c r="I214" s="18">
        <v>45402</v>
      </c>
      <c r="J214" s="10">
        <v>1</v>
      </c>
      <c r="K214" s="10">
        <v>1420</v>
      </c>
      <c r="L214">
        <v>1420</v>
      </c>
      <c r="M214" s="10">
        <v>1464</v>
      </c>
      <c r="N214">
        <f t="shared" si="3"/>
        <v>1464</v>
      </c>
      <c r="P2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Row],[orderNum]],ТабПозиции[orderSumm])&gt;1500),ABS(N214*VLOOKUP(ТабПозиции[[#This Row],[orderNum]],ТабЗаказы[#Data],MATCH("Percent",ТабЗаказы[#Headers],0),0))/100,200/COUNTIF(ТабПозиции[orderNum],ТабПозиции[[#This Row],[orderNum]])),0),"")</f>
        <v>220</v>
      </c>
      <c r="Q214">
        <f>IF(OR(ТабПозиции[[#This Row],[item]]="По штрихкоду",ТабПозиции[[#This Row],[item]]="Посылка"),ТабПозиции[[#This Row],[deliverySumm]]+ТабПозиции[[#This Row],[deliveryPost]],SUM(N214:P214))</f>
        <v>1684</v>
      </c>
      <c r="R214" s="41">
        <v>1684</v>
      </c>
      <c r="S214" s="46">
        <f>ТабПозиции[[#This Row],[totalSumm]]-ТабПозиции[[#This Row],[payment]]</f>
        <v>0</v>
      </c>
      <c r="T214" s="18" t="s">
        <v>563</v>
      </c>
      <c r="U214" s="40" t="s">
        <v>545</v>
      </c>
      <c r="V214" s="40" t="s">
        <v>545</v>
      </c>
      <c r="W214" s="40" t="s">
        <v>545</v>
      </c>
      <c r="X214" s="3"/>
      <c r="Y214"/>
    </row>
    <row r="215" spans="1:25" hidden="1" x14ac:dyDescent="0.25">
      <c r="A215" s="10">
        <v>66</v>
      </c>
      <c r="B215" s="1">
        <f>IFERROR(VLOOKUP(ТабПозиции[[#This Row],[orderNum]],ТабЗаказы[#Data],MATCH(B$7,ТабЗаказы[#Headers],0),0),"")</f>
        <v>45400</v>
      </c>
      <c r="C215" t="str">
        <f>MONTH(ТабПозиции[[#This Row],[date]])&amp;"/"&amp;YEAR(ТабПозиции[[#This Row],[date]])</f>
        <v>4/2024</v>
      </c>
      <c r="D215" s="1" t="str">
        <f>IFERROR(VLOOKUP(ТабПозиции[[#This Row],[orderNum]],ТабЗаказы[#Data],MATCH(D$7,ТабЗаказы[#Headers],0),0),"")</f>
        <v/>
      </c>
      <c r="E215" s="1" t="str">
        <f>IFERROR(VLOOKUP(ТабПозиции[[#This Row],[orderNum]],ТабЗаказы[#Data],MATCH(E$7,ТабЗаказы[#Headers],0),0),"")</f>
        <v/>
      </c>
      <c r="F215" s="16" t="s">
        <v>744</v>
      </c>
      <c r="G215" s="40" t="s">
        <v>545</v>
      </c>
      <c r="I215" s="18">
        <v>45405</v>
      </c>
      <c r="J215" s="10">
        <v>2</v>
      </c>
      <c r="K215" s="10">
        <v>517</v>
      </c>
      <c r="L215">
        <v>1034</v>
      </c>
      <c r="M215" s="10">
        <v>561</v>
      </c>
      <c r="N215">
        <f t="shared" si="3"/>
        <v>1122</v>
      </c>
      <c r="P2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Row],[orderNum]],ТабПозиции[orderSumm])&gt;1500),ABS(N215*VLOOKUP(ТабПозиции[[#This Row],[orderNum]],ТабЗаказы[#Data],MATCH("Percent",ТабЗаказы[#Headers],0),0))/100,200/COUNTIF(ТабПозиции[orderNum],ТабПозиции[[#This Row],[orderNum]])),0),"")</f>
        <v>168</v>
      </c>
      <c r="Q215">
        <f>IF(OR(ТабПозиции[[#This Row],[item]]="По штрихкоду",ТабПозиции[[#This Row],[item]]="Посылка"),ТабПозиции[[#This Row],[deliverySumm]]+ТабПозиции[[#This Row],[deliveryPost]],SUM(N215:P215))</f>
        <v>1290</v>
      </c>
      <c r="R215" s="41">
        <v>1290</v>
      </c>
      <c r="S215" s="46">
        <f>ТабПозиции[[#This Row],[totalSumm]]-ТабПозиции[[#This Row],[payment]]</f>
        <v>0</v>
      </c>
      <c r="T215" s="18" t="s">
        <v>580</v>
      </c>
      <c r="U215" s="40" t="s">
        <v>545</v>
      </c>
      <c r="V215" s="40" t="s">
        <v>545</v>
      </c>
      <c r="W215" s="40" t="s">
        <v>545</v>
      </c>
      <c r="X215" s="3"/>
      <c r="Y215"/>
    </row>
    <row r="216" spans="1:25" hidden="1" x14ac:dyDescent="0.25">
      <c r="A216" s="10">
        <v>67</v>
      </c>
      <c r="B216" s="1">
        <f>IFERROR(VLOOKUP(ТабПозиции[[#This Row],[orderNum]],ТабЗаказы[#Data],MATCH(B$7,ТабЗаказы[#Headers],0),0),"")</f>
        <v>45401</v>
      </c>
      <c r="C216" t="str">
        <f>MONTH(ТабПозиции[[#This Row],[date]])&amp;"/"&amp;YEAR(ТабПозиции[[#This Row],[date]])</f>
        <v>4/2024</v>
      </c>
      <c r="D216" s="1" t="str">
        <f>IFERROR(VLOOKUP(ТабПозиции[[#This Row],[orderNum]],ТабЗаказы[#Data],MATCH(D$7,ТабЗаказы[#Headers],0),0),"")</f>
        <v/>
      </c>
      <c r="E216" s="1" t="str">
        <f>IFERROR(VLOOKUP(ТабПозиции[[#This Row],[orderNum]],ТабЗаказы[#Data],MATCH(E$7,ТабЗаказы[#Headers],0),0),"")</f>
        <v/>
      </c>
      <c r="F216" s="16" t="s">
        <v>745</v>
      </c>
      <c r="G216" s="40" t="s">
        <v>545</v>
      </c>
      <c r="I216" s="18">
        <v>45403</v>
      </c>
      <c r="J216" s="10">
        <v>1</v>
      </c>
      <c r="K216" s="10">
        <v>375</v>
      </c>
      <c r="L216">
        <v>375</v>
      </c>
      <c r="M216" s="10">
        <v>387</v>
      </c>
      <c r="N216">
        <f t="shared" si="3"/>
        <v>387</v>
      </c>
      <c r="P2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Row],[orderNum]],ТабПозиции[orderSumm])&gt;1500),ABS(N216*VLOOKUP(ТабПозиции[[#This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216">
        <f>IF(OR(ТабПозиции[[#This Row],[item]]="По штрихкоду",ТабПозиции[[#This Row],[item]]="Посылка"),ТабПозиции[[#This Row],[deliverySumm]]+ТабПозиции[[#This Row],[deliveryPost]],SUM(N216:P216))</f>
        <v>487</v>
      </c>
      <c r="R216" s="41">
        <v>487</v>
      </c>
      <c r="S216" s="46">
        <f>ТабПозиции[[#This Row],[totalSumm]]-ТабПозиции[[#This Row],[payment]]</f>
        <v>0</v>
      </c>
      <c r="T216" s="18" t="s">
        <v>563</v>
      </c>
      <c r="U216" s="40" t="s">
        <v>545</v>
      </c>
      <c r="V216" s="40" t="s">
        <v>545</v>
      </c>
      <c r="W216" s="40" t="s">
        <v>545</v>
      </c>
      <c r="X216" s="3"/>
      <c r="Y216"/>
    </row>
    <row r="217" spans="1:25" hidden="1" x14ac:dyDescent="0.25">
      <c r="A217" s="10">
        <v>67</v>
      </c>
      <c r="B217" s="1">
        <f>IFERROR(VLOOKUP(ТабПозиции[[#This Row],[orderNum]],ТабЗаказы[#Data],MATCH(B$7,ТабЗаказы[#Headers],0),0),"")</f>
        <v>45401</v>
      </c>
      <c r="C217" t="str">
        <f>MONTH(ТабПозиции[[#This Row],[date]])&amp;"/"&amp;YEAR(ТабПозиции[[#This Row],[date]])</f>
        <v>4/2024</v>
      </c>
      <c r="D217" s="1" t="str">
        <f>IFERROR(VLOOKUP(ТабПозиции[[#This Row],[orderNum]],ТабЗаказы[#Data],MATCH(D$7,ТабЗаказы[#Headers],0),0),"")</f>
        <v/>
      </c>
      <c r="E217" s="1" t="str">
        <f>IFERROR(VLOOKUP(ТабПозиции[[#This Row],[orderNum]],ТабЗаказы[#Data],MATCH(E$7,ТабЗаказы[#Headers],0),0),"")</f>
        <v/>
      </c>
      <c r="F217" s="16" t="s">
        <v>746</v>
      </c>
      <c r="G217" s="40" t="s">
        <v>545</v>
      </c>
      <c r="I217" s="18">
        <v>45404</v>
      </c>
      <c r="J217" s="10">
        <v>1</v>
      </c>
      <c r="K217" s="10">
        <v>375</v>
      </c>
      <c r="L217">
        <v>375</v>
      </c>
      <c r="M217" s="10">
        <v>387</v>
      </c>
      <c r="N217">
        <f t="shared" si="3"/>
        <v>387</v>
      </c>
      <c r="P2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Row],[orderNum]],ТабПозиции[orderSumm])&gt;1500),ABS(N217*VLOOKUP(ТабПозиции[[#This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217">
        <f>IF(OR(ТабПозиции[[#This Row],[item]]="По штрихкоду",ТабПозиции[[#This Row],[item]]="Посылка"),ТабПозиции[[#This Row],[deliverySumm]]+ТабПозиции[[#This Row],[deliveryPost]],SUM(N217:P217))</f>
        <v>487</v>
      </c>
      <c r="R217" s="41">
        <v>487</v>
      </c>
      <c r="S217" s="46">
        <f>ТабПозиции[[#This Row],[totalSumm]]-ТабПозиции[[#This Row],[payment]]</f>
        <v>0</v>
      </c>
      <c r="T217" s="18" t="s">
        <v>563</v>
      </c>
      <c r="U217" s="40" t="s">
        <v>545</v>
      </c>
      <c r="V217" s="40" t="s">
        <v>545</v>
      </c>
      <c r="W217" s="40" t="s">
        <v>545</v>
      </c>
      <c r="X217" s="3"/>
      <c r="Y217"/>
    </row>
    <row r="218" spans="1:25" hidden="1" x14ac:dyDescent="0.25">
      <c r="A218" s="10">
        <v>68</v>
      </c>
      <c r="B218" s="1">
        <f>IFERROR(VLOOKUP(ТабПозиции[[#This Row],[orderNum]],ТабЗаказы[#Data],MATCH(B$7,ТабЗаказы[#Headers],0),0),"")</f>
        <v>45401</v>
      </c>
      <c r="C218" t="str">
        <f>MONTH(ТабПозиции[[#This Row],[date]])&amp;"/"&amp;YEAR(ТабПозиции[[#This Row],[date]])</f>
        <v>4/2024</v>
      </c>
      <c r="D218" s="1" t="str">
        <f>IFERROR(VLOOKUP(ТабПозиции[[#This Row],[orderNum]],ТабЗаказы[#Data],MATCH(D$7,ТабЗаказы[#Headers],0),0),"")</f>
        <v/>
      </c>
      <c r="E218" s="1" t="str">
        <f>IFERROR(VLOOKUP(ТабПозиции[[#This Row],[orderNum]],ТабЗаказы[#Data],MATCH(E$7,ТабЗаказы[#Headers],0),0),"")</f>
        <v/>
      </c>
      <c r="F218" s="16" t="s">
        <v>747</v>
      </c>
      <c r="G218" s="40" t="s">
        <v>545</v>
      </c>
      <c r="I218" s="18">
        <v>45404</v>
      </c>
      <c r="J218" s="10">
        <v>1</v>
      </c>
      <c r="K218" s="10">
        <v>226</v>
      </c>
      <c r="L218">
        <v>226</v>
      </c>
      <c r="M218" s="10">
        <v>234</v>
      </c>
      <c r="N218">
        <f t="shared" si="3"/>
        <v>234</v>
      </c>
      <c r="P2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Row],[orderNum]],ТабПозиции[orderSumm])&gt;1500),ABS(N218*VLOOKUP(ТабПозиции[[#This Row],[orderNum]],ТабЗаказы[#Data],MATCH("Percent",ТабЗаказы[#Headers],0),0))/100,200/COUNTIF(ТабПозиции[orderNum],ТабПозиции[[#This Row],[orderNum]])),0),"")</f>
        <v>35</v>
      </c>
      <c r="Q218">
        <f>IF(OR(ТабПозиции[[#This Row],[item]]="По штрихкоду",ТабПозиции[[#This Row],[item]]="Посылка"),ТабПозиции[[#This Row],[deliverySumm]]+ТабПозиции[[#This Row],[deliveryPost]],SUM(N218:P218))</f>
        <v>269</v>
      </c>
      <c r="R218" s="41">
        <v>269</v>
      </c>
      <c r="S218" s="46">
        <f>ТабПозиции[[#This Row],[totalSumm]]-ТабПозиции[[#This Row],[payment]]</f>
        <v>0</v>
      </c>
      <c r="T218" s="18" t="s">
        <v>563</v>
      </c>
      <c r="U218" s="40" t="s">
        <v>545</v>
      </c>
      <c r="V218" s="40" t="s">
        <v>545</v>
      </c>
      <c r="W218" s="40" t="s">
        <v>545</v>
      </c>
      <c r="X218" s="3"/>
      <c r="Y218"/>
    </row>
    <row r="219" spans="1:25" hidden="1" x14ac:dyDescent="0.25">
      <c r="A219" s="10">
        <v>68</v>
      </c>
      <c r="B219" s="1">
        <f>IFERROR(VLOOKUP(ТабПозиции[[#This Row],[orderNum]],ТабЗаказы[#Data],MATCH(B$7,ТабЗаказы[#Headers],0),0),"")</f>
        <v>45401</v>
      </c>
      <c r="C219" t="str">
        <f>MONTH(ТабПозиции[[#This Row],[date]])&amp;"/"&amp;YEAR(ТабПозиции[[#This Row],[date]])</f>
        <v>4/2024</v>
      </c>
      <c r="D219" s="1" t="str">
        <f>IFERROR(VLOOKUP(ТабПозиции[[#This Row],[orderNum]],ТабЗаказы[#Data],MATCH(D$7,ТабЗаказы[#Headers],0),0),"")</f>
        <v/>
      </c>
      <c r="E219" s="1" t="str">
        <f>IFERROR(VLOOKUP(ТабПозиции[[#This Row],[orderNum]],ТабЗаказы[#Data],MATCH(E$7,ТабЗаказы[#Headers],0),0),"")</f>
        <v/>
      </c>
      <c r="F219" s="16" t="s">
        <v>748</v>
      </c>
      <c r="G219" s="40" t="s">
        <v>545</v>
      </c>
      <c r="I219" s="18">
        <v>45403</v>
      </c>
      <c r="J219" s="10">
        <v>1</v>
      </c>
      <c r="K219" s="10">
        <v>285</v>
      </c>
      <c r="L219">
        <v>285</v>
      </c>
      <c r="M219" s="10">
        <v>294</v>
      </c>
      <c r="N219">
        <f t="shared" si="3"/>
        <v>294</v>
      </c>
      <c r="P2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Row],[orderNum]],ТабПозиции[orderSumm])&gt;1500),ABS(N219*VLOOKUP(ТабПозиции[[#This Row],[orderNum]],ТабЗаказы[#Data],MATCH("Percent",ТабЗаказы[#Headers],0),0))/100,200/COUNTIF(ТабПозиции[orderNum],ТабПозиции[[#This Row],[orderNum]])),0),"")</f>
        <v>44</v>
      </c>
      <c r="Q219">
        <f>IF(OR(ТабПозиции[[#This Row],[item]]="По штрихкоду",ТабПозиции[[#This Row],[item]]="Посылка"),ТабПозиции[[#This Row],[deliverySumm]]+ТабПозиции[[#This Row],[deliveryPost]],SUM(N219:P219))</f>
        <v>338</v>
      </c>
      <c r="R219" s="41">
        <v>338</v>
      </c>
      <c r="S219" s="46">
        <f>ТабПозиции[[#This Row],[totalSumm]]-ТабПозиции[[#This Row],[payment]]</f>
        <v>0</v>
      </c>
      <c r="T219" s="18" t="s">
        <v>563</v>
      </c>
      <c r="U219" s="40" t="s">
        <v>545</v>
      </c>
      <c r="V219" s="40" t="s">
        <v>545</v>
      </c>
      <c r="W219" s="40" t="s">
        <v>545</v>
      </c>
      <c r="X219" s="3"/>
      <c r="Y219"/>
    </row>
    <row r="220" spans="1:25" hidden="1" x14ac:dyDescent="0.25">
      <c r="A220" s="10">
        <v>68</v>
      </c>
      <c r="B220" s="1">
        <f>IFERROR(VLOOKUP(ТабПозиции[[#This Row],[orderNum]],ТабЗаказы[#Data],MATCH(B$7,ТабЗаказы[#Headers],0),0),"")</f>
        <v>45401</v>
      </c>
      <c r="C220" t="str">
        <f>MONTH(ТабПозиции[[#This Row],[date]])&amp;"/"&amp;YEAR(ТабПозиции[[#This Row],[date]])</f>
        <v>4/2024</v>
      </c>
      <c r="D220" s="1" t="str">
        <f>IFERROR(VLOOKUP(ТабПозиции[[#This Row],[orderNum]],ТабЗаказы[#Data],MATCH(D$7,ТабЗаказы[#Headers],0),0),"")</f>
        <v/>
      </c>
      <c r="E220" s="1" t="str">
        <f>IFERROR(VLOOKUP(ТабПозиции[[#This Row],[orderNum]],ТабЗаказы[#Data],MATCH(E$7,ТабЗаказы[#Headers],0),0),"")</f>
        <v/>
      </c>
      <c r="F220" s="16" t="s">
        <v>749</v>
      </c>
      <c r="G220" s="40" t="s">
        <v>545</v>
      </c>
      <c r="I220" s="18">
        <v>45403</v>
      </c>
      <c r="J220" s="10">
        <v>1</v>
      </c>
      <c r="K220" s="10">
        <v>285</v>
      </c>
      <c r="L220">
        <v>285</v>
      </c>
      <c r="M220" s="10">
        <v>294</v>
      </c>
      <c r="N220">
        <f t="shared" si="3"/>
        <v>294</v>
      </c>
      <c r="P2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Row],[orderNum]],ТабПозиции[orderSumm])&gt;1500),ABS(N220*VLOOKUP(ТабПозиции[[#This Row],[orderNum]],ТабЗаказы[#Data],MATCH("Percent",ТабЗаказы[#Headers],0),0))/100,200/COUNTIF(ТабПозиции[orderNum],ТабПозиции[[#This Row],[orderNum]])),0),"")</f>
        <v>44</v>
      </c>
      <c r="Q220">
        <f>IF(OR(ТабПозиции[[#This Row],[item]]="По штрихкоду",ТабПозиции[[#This Row],[item]]="Посылка"),ТабПозиции[[#This Row],[deliverySumm]]+ТабПозиции[[#This Row],[deliveryPost]],SUM(N220:P220))</f>
        <v>338</v>
      </c>
      <c r="R220" s="41">
        <v>338</v>
      </c>
      <c r="S220" s="46">
        <f>ТабПозиции[[#This Row],[totalSumm]]-ТабПозиции[[#This Row],[payment]]</f>
        <v>0</v>
      </c>
      <c r="T220" s="18" t="s">
        <v>563</v>
      </c>
      <c r="U220" s="40" t="s">
        <v>545</v>
      </c>
      <c r="V220" s="40" t="s">
        <v>545</v>
      </c>
      <c r="W220" s="40" t="s">
        <v>545</v>
      </c>
      <c r="X220" s="3"/>
      <c r="Y220"/>
    </row>
    <row r="221" spans="1:25" hidden="1" x14ac:dyDescent="0.25">
      <c r="A221" s="10">
        <v>68</v>
      </c>
      <c r="B221" s="1">
        <f>IFERROR(VLOOKUP(ТабПозиции[[#This Row],[orderNum]],ТабЗаказы[#Data],MATCH(B$7,ТабЗаказы[#Headers],0),0),"")</f>
        <v>45401</v>
      </c>
      <c r="C221" t="str">
        <f>MONTH(ТабПозиции[[#This Row],[date]])&amp;"/"&amp;YEAR(ТабПозиции[[#This Row],[date]])</f>
        <v>4/2024</v>
      </c>
      <c r="D221" s="1" t="str">
        <f>IFERROR(VLOOKUP(ТабПозиции[[#This Row],[orderNum]],ТабЗаказы[#Data],MATCH(D$7,ТабЗаказы[#Headers],0),0),"")</f>
        <v/>
      </c>
      <c r="E221" s="1" t="str">
        <f>IFERROR(VLOOKUP(ТабПозиции[[#This Row],[orderNum]],ТабЗаказы[#Data],MATCH(E$7,ТабЗаказы[#Headers],0),0),"")</f>
        <v/>
      </c>
      <c r="F221" s="16" t="s">
        <v>735</v>
      </c>
      <c r="G221" s="40" t="s">
        <v>545</v>
      </c>
      <c r="I221" s="18">
        <v>45404</v>
      </c>
      <c r="J221" s="10">
        <v>1</v>
      </c>
      <c r="K221" s="10">
        <v>228</v>
      </c>
      <c r="L221">
        <v>228</v>
      </c>
      <c r="M221" s="10">
        <v>236</v>
      </c>
      <c r="N221">
        <f t="shared" si="3"/>
        <v>236</v>
      </c>
      <c r="P2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Row],[orderNum]],ТабПозиции[orderSumm])&gt;1500),ABS(N221*VLOOKUP(ТабПозиции[[#This Row],[orderNum]],ТабЗаказы[#Data],MATCH("Percent",ТабЗаказы[#Headers],0),0))/100,200/COUNTIF(ТабПозиции[orderNum],ТабПозиции[[#This Row],[orderNum]])),0),"")</f>
        <v>35</v>
      </c>
      <c r="Q221">
        <f>IF(OR(ТабПозиции[[#This Row],[item]]="По штрихкоду",ТабПозиции[[#This Row],[item]]="Посылка"),ТабПозиции[[#This Row],[deliverySumm]]+ТабПозиции[[#This Row],[deliveryPost]],SUM(N221:P221))</f>
        <v>271</v>
      </c>
      <c r="R221" s="41">
        <v>271</v>
      </c>
      <c r="S221" s="46">
        <f>ТабПозиции[[#This Row],[totalSumm]]-ТабПозиции[[#This Row],[payment]]</f>
        <v>0</v>
      </c>
      <c r="T221" s="18" t="s">
        <v>563</v>
      </c>
      <c r="U221" s="40" t="s">
        <v>545</v>
      </c>
      <c r="V221" s="40" t="s">
        <v>545</v>
      </c>
      <c r="W221" s="40" t="s">
        <v>545</v>
      </c>
      <c r="X221" s="3"/>
      <c r="Y221"/>
    </row>
    <row r="222" spans="1:25" hidden="1" x14ac:dyDescent="0.25">
      <c r="A222" s="10">
        <v>68</v>
      </c>
      <c r="B222" s="1">
        <f>IFERROR(VLOOKUP(ТабПозиции[[#This Row],[orderNum]],ТабЗаказы[#Data],MATCH(B$7,ТабЗаказы[#Headers],0),0),"")</f>
        <v>45401</v>
      </c>
      <c r="C222" t="str">
        <f>MONTH(ТабПозиции[[#This Row],[date]])&amp;"/"&amp;YEAR(ТабПозиции[[#This Row],[date]])</f>
        <v>4/2024</v>
      </c>
      <c r="D222" s="1" t="str">
        <f>IFERROR(VLOOKUP(ТабПозиции[[#This Row],[orderNum]],ТабЗаказы[#Data],MATCH(D$7,ТабЗаказы[#Headers],0),0),"")</f>
        <v/>
      </c>
      <c r="E222" s="1" t="str">
        <f>IFERROR(VLOOKUP(ТабПозиции[[#This Row],[orderNum]],ТабЗаказы[#Data],MATCH(E$7,ТабЗаказы[#Headers],0),0),"")</f>
        <v/>
      </c>
      <c r="F222" s="16" t="s">
        <v>750</v>
      </c>
      <c r="G222" s="40" t="s">
        <v>545</v>
      </c>
      <c r="I222" s="18">
        <v>45404</v>
      </c>
      <c r="J222" s="10">
        <v>1</v>
      </c>
      <c r="K222" s="10">
        <v>345</v>
      </c>
      <c r="L222">
        <v>345</v>
      </c>
      <c r="M222" s="10">
        <v>356</v>
      </c>
      <c r="N222">
        <f t="shared" si="3"/>
        <v>356</v>
      </c>
      <c r="P2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Row],[orderNum]],ТабПозиции[orderSumm])&gt;1500),ABS(N222*VLOOKUP(ТабПозиции[[#This Row],[orderNum]],ТабЗаказы[#Data],MATCH("Percent",ТабЗаказы[#Headers],0),0))/100,200/COUNTIF(ТабПозиции[orderNum],ТабПозиции[[#This Row],[orderNum]])),0),"")</f>
        <v>53</v>
      </c>
      <c r="Q222">
        <f>IF(OR(ТабПозиции[[#This Row],[item]]="По штрихкоду",ТабПозиции[[#This Row],[item]]="Посылка"),ТабПозиции[[#This Row],[deliverySumm]]+ТабПозиции[[#This Row],[deliveryPost]],SUM(N222:P222))</f>
        <v>409</v>
      </c>
      <c r="R222" s="41">
        <v>409</v>
      </c>
      <c r="S222" s="46">
        <f>ТабПозиции[[#This Row],[totalSumm]]-ТабПозиции[[#This Row],[payment]]</f>
        <v>0</v>
      </c>
      <c r="T222" s="18" t="s">
        <v>563</v>
      </c>
      <c r="U222" s="40" t="s">
        <v>545</v>
      </c>
      <c r="V222" s="40" t="s">
        <v>545</v>
      </c>
      <c r="W222" s="40" t="s">
        <v>545</v>
      </c>
      <c r="X222" s="3"/>
      <c r="Y222"/>
    </row>
    <row r="223" spans="1:25" hidden="1" x14ac:dyDescent="0.25">
      <c r="A223" s="10">
        <v>68</v>
      </c>
      <c r="B223" s="1">
        <f>IFERROR(VLOOKUP(ТабПозиции[[#This Row],[orderNum]],ТабЗаказы[#Data],MATCH(B$7,ТабЗаказы[#Headers],0),0),"")</f>
        <v>45401</v>
      </c>
      <c r="C223" t="str">
        <f>MONTH(ТабПозиции[[#This Row],[date]])&amp;"/"&amp;YEAR(ТабПозиции[[#This Row],[date]])</f>
        <v>4/2024</v>
      </c>
      <c r="D223" s="1" t="str">
        <f>IFERROR(VLOOKUP(ТабПозиции[[#This Row],[orderNum]],ТабЗаказы[#Data],MATCH(D$7,ТабЗаказы[#Headers],0),0),"")</f>
        <v/>
      </c>
      <c r="E223" s="1" t="str">
        <f>IFERROR(VLOOKUP(ТабПозиции[[#This Row],[orderNum]],ТабЗаказы[#Data],MATCH(E$7,ТабЗаказы[#Headers],0),0),"")</f>
        <v/>
      </c>
      <c r="F223" s="16" t="s">
        <v>751</v>
      </c>
      <c r="G223" s="40" t="s">
        <v>545</v>
      </c>
      <c r="I223" s="18">
        <v>45404</v>
      </c>
      <c r="J223" s="10">
        <v>1</v>
      </c>
      <c r="K223" s="10">
        <v>264</v>
      </c>
      <c r="L223">
        <v>264</v>
      </c>
      <c r="M223" s="10">
        <v>273</v>
      </c>
      <c r="N223">
        <f t="shared" si="3"/>
        <v>273</v>
      </c>
      <c r="P2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Row],[orderNum]],ТабПозиции[orderSumm])&gt;1500),ABS(N223*VLOOKUP(ТабПозиции[[#This Row],[orderNum]],ТабЗаказы[#Data],MATCH("Percent",ТабЗаказы[#Headers],0),0))/100,200/COUNTIF(ТабПозиции[orderNum],ТабПозиции[[#This Row],[orderNum]])),0),"")</f>
        <v>41</v>
      </c>
      <c r="Q223">
        <f>IF(OR(ТабПозиции[[#This Row],[item]]="По штрихкоду",ТабПозиции[[#This Row],[item]]="Посылка"),ТабПозиции[[#This Row],[deliverySumm]]+ТабПозиции[[#This Row],[deliveryPost]],SUM(N223:P223))</f>
        <v>314</v>
      </c>
      <c r="R223" s="41">
        <v>314</v>
      </c>
      <c r="S223" s="46">
        <f>ТабПозиции[[#This Row],[totalSumm]]-ТабПозиции[[#This Row],[payment]]</f>
        <v>0</v>
      </c>
      <c r="T223" s="18" t="s">
        <v>563</v>
      </c>
      <c r="U223" s="40" t="s">
        <v>545</v>
      </c>
      <c r="V223" s="40" t="s">
        <v>545</v>
      </c>
      <c r="W223" s="40" t="s">
        <v>545</v>
      </c>
      <c r="X223" s="3"/>
      <c r="Y223"/>
    </row>
    <row r="224" spans="1:25" hidden="1" x14ac:dyDescent="0.25">
      <c r="A224" s="10">
        <v>69</v>
      </c>
      <c r="B224" s="1">
        <f>IFERROR(VLOOKUP(ТабПозиции[[#This Row],[orderNum]],ТабЗаказы[#Data],MATCH(B$7,ТабЗаказы[#Headers],0),0),"")</f>
        <v>45402</v>
      </c>
      <c r="C224" t="str">
        <f>MONTH(ТабПозиции[[#This Row],[date]])&amp;"/"&amp;YEAR(ТабПозиции[[#This Row],[date]])</f>
        <v>4/2024</v>
      </c>
      <c r="D224" s="1" t="str">
        <f>IFERROR(VLOOKUP(ТабПозиции[[#This Row],[orderNum]],ТабЗаказы[#Data],MATCH(D$7,ТабЗаказы[#Headers],0),0),"")</f>
        <v/>
      </c>
      <c r="E224" s="1" t="str">
        <f>IFERROR(VLOOKUP(ТабПозиции[[#This Row],[orderNum]],ТабЗаказы[#Data],MATCH(E$7,ТабЗаказы[#Headers],0),0),"")</f>
        <v/>
      </c>
      <c r="F224" s="16" t="s">
        <v>682</v>
      </c>
      <c r="G224" s="40" t="s">
        <v>545</v>
      </c>
      <c r="I224" s="18">
        <v>45404</v>
      </c>
      <c r="J224" s="10">
        <v>1</v>
      </c>
      <c r="K224" s="10">
        <v>248</v>
      </c>
      <c r="L224">
        <v>248</v>
      </c>
      <c r="M224" s="10">
        <v>256</v>
      </c>
      <c r="N224">
        <f t="shared" si="3"/>
        <v>256</v>
      </c>
      <c r="P2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Row],[orderNum]],ТабПозиции[orderSumm])&gt;1500),ABS(N224*VLOOKUP(ТабПозиции[[#This Row],[orderNum]],ТабЗаказы[#Data],MATCH("Percent",ТабЗаказы[#Headers],0),0))/100,200/COUNTIF(ТабПозиции[orderNum],ТабПозиции[[#This Row],[orderNum]])),0),"")</f>
        <v>38</v>
      </c>
      <c r="Q224">
        <f>IF(OR(ТабПозиции[[#This Row],[item]]="По штрихкоду",ТабПозиции[[#This Row],[item]]="Посылка"),ТабПозиции[[#This Row],[deliverySumm]]+ТабПозиции[[#This Row],[deliveryPost]],SUM(N224:P224))</f>
        <v>294</v>
      </c>
      <c r="R224" s="41">
        <v>294</v>
      </c>
      <c r="S224" s="46">
        <f>ТабПозиции[[#This Row],[totalSumm]]-ТабПозиции[[#This Row],[payment]]</f>
        <v>0</v>
      </c>
      <c r="T224" s="18" t="s">
        <v>563</v>
      </c>
      <c r="U224" s="40" t="s">
        <v>545</v>
      </c>
      <c r="V224" s="40" t="s">
        <v>545</v>
      </c>
      <c r="W224" s="40" t="s">
        <v>545</v>
      </c>
      <c r="X224" s="3"/>
      <c r="Y224"/>
    </row>
    <row r="225" spans="1:25" hidden="1" x14ac:dyDescent="0.25">
      <c r="A225" s="10">
        <v>69</v>
      </c>
      <c r="B225" s="1">
        <f>IFERROR(VLOOKUP(ТабПозиции[[#This Row],[orderNum]],ТабЗаказы[#Data],MATCH(B$7,ТабЗаказы[#Headers],0),0),"")</f>
        <v>45402</v>
      </c>
      <c r="C225" t="str">
        <f>MONTH(ТабПозиции[[#This Row],[date]])&amp;"/"&amp;YEAR(ТабПозиции[[#This Row],[date]])</f>
        <v>4/2024</v>
      </c>
      <c r="D225" s="1" t="str">
        <f>IFERROR(VLOOKUP(ТабПозиции[[#This Row],[orderNum]],ТабЗаказы[#Data],MATCH(D$7,ТабЗаказы[#Headers],0),0),"")</f>
        <v/>
      </c>
      <c r="E225" s="1" t="str">
        <f>IFERROR(VLOOKUP(ТабПозиции[[#This Row],[orderNum]],ТабЗаказы[#Data],MATCH(E$7,ТабЗаказы[#Headers],0),0),"")</f>
        <v/>
      </c>
      <c r="F225" s="16" t="s">
        <v>752</v>
      </c>
      <c r="G225" s="40" t="s">
        <v>545</v>
      </c>
      <c r="I225" s="18">
        <v>45404</v>
      </c>
      <c r="J225" s="10">
        <v>1</v>
      </c>
      <c r="K225" s="10">
        <v>273</v>
      </c>
      <c r="L225">
        <v>273</v>
      </c>
      <c r="M225" s="10">
        <v>282</v>
      </c>
      <c r="N225">
        <f t="shared" si="3"/>
        <v>282</v>
      </c>
      <c r="P2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Row],[orderNum]],ТабПозиции[orderSumm])&gt;1500),ABS(N225*VLOOKUP(ТабПозиции[[#This Row],[orderNum]],ТабЗаказы[#Data],MATCH("Percent",ТабЗаказы[#Headers],0),0))/100,200/COUNTIF(ТабПозиции[orderNum],ТабПозиции[[#This Row],[orderNum]])),0),"")</f>
        <v>42</v>
      </c>
      <c r="Q225">
        <f>IF(OR(ТабПозиции[[#This Row],[item]]="По штрихкоду",ТабПозиции[[#This Row],[item]]="Посылка"),ТабПозиции[[#This Row],[deliverySumm]]+ТабПозиции[[#This Row],[deliveryPost]],SUM(N225:P225))</f>
        <v>324</v>
      </c>
      <c r="R225" s="41">
        <v>324</v>
      </c>
      <c r="S225" s="46">
        <f>ТабПозиции[[#This Row],[totalSumm]]-ТабПозиции[[#This Row],[payment]]</f>
        <v>0</v>
      </c>
      <c r="T225" s="18" t="s">
        <v>563</v>
      </c>
      <c r="U225" s="40" t="s">
        <v>545</v>
      </c>
      <c r="V225" s="40" t="s">
        <v>545</v>
      </c>
      <c r="W225" s="40" t="s">
        <v>545</v>
      </c>
      <c r="X225" s="3"/>
      <c r="Y225"/>
    </row>
    <row r="226" spans="1:25" hidden="1" x14ac:dyDescent="0.25">
      <c r="A226" s="10">
        <v>69</v>
      </c>
      <c r="B226" s="1">
        <f>IFERROR(VLOOKUP(ТабПозиции[[#This Row],[orderNum]],ТабЗаказы[#Data],MATCH(B$7,ТабЗаказы[#Headers],0),0),"")</f>
        <v>45402</v>
      </c>
      <c r="C226" t="str">
        <f>MONTH(ТабПозиции[[#This Row],[date]])&amp;"/"&amp;YEAR(ТабПозиции[[#This Row],[date]])</f>
        <v>4/2024</v>
      </c>
      <c r="D226" s="1" t="str">
        <f>IFERROR(VLOOKUP(ТабПозиции[[#This Row],[orderNum]],ТабЗаказы[#Data],MATCH(D$7,ТабЗаказы[#Headers],0),0),"")</f>
        <v/>
      </c>
      <c r="E226" s="1" t="str">
        <f>IFERROR(VLOOKUP(ТабПозиции[[#This Row],[orderNum]],ТабЗаказы[#Data],MATCH(E$7,ТабЗаказы[#Headers],0),0),"")</f>
        <v/>
      </c>
      <c r="F226" s="16" t="s">
        <v>753</v>
      </c>
      <c r="G226" s="40" t="s">
        <v>545</v>
      </c>
      <c r="I226" s="18">
        <v>45404</v>
      </c>
      <c r="J226" s="10">
        <v>1</v>
      </c>
      <c r="K226" s="10">
        <v>107</v>
      </c>
      <c r="L226">
        <v>107</v>
      </c>
      <c r="M226" s="10">
        <v>111</v>
      </c>
      <c r="N226">
        <f t="shared" si="3"/>
        <v>111</v>
      </c>
      <c r="P2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Row],[orderNum]],ТабПозиции[orderSumm])&gt;1500),ABS(N226*VLOOKUP(ТабПозиции[[#This Row],[orderNum]],ТабЗаказы[#Data],MATCH("Percent",ТабЗаказы[#Headers],0),0))/100,200/COUNTIF(ТабПозиции[orderNum],ТабПозиции[[#This Row],[orderNum]])),0),"")</f>
        <v>17</v>
      </c>
      <c r="Q226">
        <f>IF(OR(ТабПозиции[[#This Row],[item]]="По штрихкоду",ТабПозиции[[#This Row],[item]]="Посылка"),ТабПозиции[[#This Row],[deliverySumm]]+ТабПозиции[[#This Row],[deliveryPost]],SUM(N226:P226))</f>
        <v>128</v>
      </c>
      <c r="R226" s="41">
        <v>128</v>
      </c>
      <c r="S226" s="46">
        <f>ТабПозиции[[#This Row],[totalSumm]]-ТабПозиции[[#This Row],[payment]]</f>
        <v>0</v>
      </c>
      <c r="T226" s="18" t="s">
        <v>563</v>
      </c>
      <c r="U226" s="40" t="s">
        <v>545</v>
      </c>
      <c r="V226" s="40" t="s">
        <v>545</v>
      </c>
      <c r="W226" s="40" t="s">
        <v>545</v>
      </c>
      <c r="X226" s="3"/>
      <c r="Y226"/>
    </row>
    <row r="227" spans="1:25" hidden="1" x14ac:dyDescent="0.25">
      <c r="A227" s="10">
        <v>69</v>
      </c>
      <c r="B227" s="1">
        <f>IFERROR(VLOOKUP(ТабПозиции[[#This Row],[orderNum]],ТабЗаказы[#Data],MATCH(B$7,ТабЗаказы[#Headers],0),0),"")</f>
        <v>45402</v>
      </c>
      <c r="C227" t="str">
        <f>MONTH(ТабПозиции[[#This Row],[date]])&amp;"/"&amp;YEAR(ТабПозиции[[#This Row],[date]])</f>
        <v>4/2024</v>
      </c>
      <c r="D227" s="1" t="str">
        <f>IFERROR(VLOOKUP(ТабПозиции[[#This Row],[orderNum]],ТабЗаказы[#Data],MATCH(D$7,ТабЗаказы[#Headers],0),0),"")</f>
        <v/>
      </c>
      <c r="E227" s="1" t="str">
        <f>IFERROR(VLOOKUP(ТабПозиции[[#This Row],[orderNum]],ТабЗаказы[#Data],MATCH(E$7,ТабЗаказы[#Headers],0),0),"")</f>
        <v/>
      </c>
      <c r="F227" s="16" t="s">
        <v>754</v>
      </c>
      <c r="G227" s="40" t="s">
        <v>545</v>
      </c>
      <c r="I227" s="18">
        <v>45406</v>
      </c>
      <c r="J227" s="10">
        <v>1</v>
      </c>
      <c r="K227" s="10">
        <v>3410</v>
      </c>
      <c r="L227">
        <v>3410</v>
      </c>
      <c r="M227" s="10">
        <v>3678</v>
      </c>
      <c r="N227">
        <f t="shared" si="3"/>
        <v>3678</v>
      </c>
      <c r="P2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Row],[orderNum]],ТабПозиции[orderSumm])&gt;1500),ABS(N227*VLOOKUP(ТабПозиции[[#This Row],[orderNum]],ТабЗаказы[#Data],MATCH("Percent",ТабЗаказы[#Headers],0),0))/100,200/COUNTIF(ТабПозиции[orderNum],ТабПозиции[[#This Row],[orderNum]])),0),"")</f>
        <v>552</v>
      </c>
      <c r="Q227">
        <f>IF(OR(ТабПозиции[[#This Row],[item]]="По штрихкоду",ТабПозиции[[#This Row],[item]]="Посылка"),ТабПозиции[[#This Row],[deliverySumm]]+ТабПозиции[[#This Row],[deliveryPost]],SUM(N227:P227))</f>
        <v>4230</v>
      </c>
      <c r="R227" s="41">
        <v>4230</v>
      </c>
      <c r="S227" s="46">
        <f>ТабПозиции[[#This Row],[totalSumm]]-ТабПозиции[[#This Row],[payment]]</f>
        <v>0</v>
      </c>
      <c r="T227" s="18" t="s">
        <v>580</v>
      </c>
      <c r="U227" s="40" t="s">
        <v>545</v>
      </c>
      <c r="V227" s="40" t="s">
        <v>545</v>
      </c>
      <c r="W227" s="40" t="s">
        <v>545</v>
      </c>
      <c r="X227" s="3"/>
      <c r="Y227"/>
    </row>
    <row r="228" spans="1:25" hidden="1" x14ac:dyDescent="0.25">
      <c r="A228" s="10">
        <v>69</v>
      </c>
      <c r="B228" s="1">
        <f>IFERROR(VLOOKUP(ТабПозиции[[#This Row],[orderNum]],ТабЗаказы[#Data],MATCH(B$7,ТабЗаказы[#Headers],0),0),"")</f>
        <v>45402</v>
      </c>
      <c r="C228" t="str">
        <f>MONTH(ТабПозиции[[#This Row],[date]])&amp;"/"&amp;YEAR(ТабПозиции[[#This Row],[date]])</f>
        <v>4/2024</v>
      </c>
      <c r="D228" s="1" t="str">
        <f>IFERROR(VLOOKUP(ТабПозиции[[#This Row],[orderNum]],ТабЗаказы[#Data],MATCH(D$7,ТабЗаказы[#Headers],0),0),"")</f>
        <v/>
      </c>
      <c r="E228" s="1" t="str">
        <f>IFERROR(VLOOKUP(ТабПозиции[[#This Row],[orderNum]],ТабЗаказы[#Data],MATCH(E$7,ТабЗаказы[#Headers],0),0),"")</f>
        <v/>
      </c>
      <c r="F228" s="16" t="s">
        <v>755</v>
      </c>
      <c r="G228" s="40" t="s">
        <v>545</v>
      </c>
      <c r="I228" s="18">
        <v>45407</v>
      </c>
      <c r="J228" s="10">
        <v>1</v>
      </c>
      <c r="K228" s="10">
        <v>347</v>
      </c>
      <c r="L228">
        <v>347</v>
      </c>
      <c r="M228" s="10">
        <v>354</v>
      </c>
      <c r="N228">
        <f t="shared" si="3"/>
        <v>354</v>
      </c>
      <c r="P2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Row],[orderNum]],ТабПозиции[orderSumm])&gt;1500),ABS(N228*VLOOKUP(ТабПозиции[[#This Row],[orderNum]],ТабЗаказы[#Data],MATCH("Percent",ТабЗаказы[#Headers],0),0))/100,200/COUNTIF(ТабПозиции[orderNum],ТабПозиции[[#This Row],[orderNum]])),0),"")</f>
        <v>53</v>
      </c>
      <c r="Q228">
        <f>IF(OR(ТабПозиции[[#This Row],[item]]="По штрихкоду",ТабПозиции[[#This Row],[item]]="Посылка"),ТабПозиции[[#This Row],[deliverySumm]]+ТабПозиции[[#This Row],[deliveryPost]],SUM(N228:P228))</f>
        <v>407</v>
      </c>
      <c r="R228" s="41">
        <v>407</v>
      </c>
      <c r="S228" s="46">
        <f>ТабПозиции[[#This Row],[totalSumm]]-ТабПозиции[[#This Row],[payment]]</f>
        <v>0</v>
      </c>
      <c r="T228" s="18" t="s">
        <v>580</v>
      </c>
      <c r="U228" s="40" t="s">
        <v>545</v>
      </c>
      <c r="V228" s="40" t="s">
        <v>545</v>
      </c>
      <c r="W228" s="40" t="s">
        <v>545</v>
      </c>
      <c r="X228" s="3"/>
      <c r="Y228"/>
    </row>
    <row r="229" spans="1:25" hidden="1" x14ac:dyDescent="0.25">
      <c r="A229" s="10">
        <v>69</v>
      </c>
      <c r="B229" s="1">
        <f>IFERROR(VLOOKUP(ТабПозиции[[#This Row],[orderNum]],ТабЗаказы[#Data],MATCH(B$7,ТабЗаказы[#Headers],0),0),"")</f>
        <v>45402</v>
      </c>
      <c r="C229" t="str">
        <f>MONTH(ТабПозиции[[#This Row],[date]])&amp;"/"&amp;YEAR(ТабПозиции[[#This Row],[date]])</f>
        <v>4/2024</v>
      </c>
      <c r="D229" s="1" t="str">
        <f>IFERROR(VLOOKUP(ТабПозиции[[#This Row],[orderNum]],ТабЗаказы[#Data],MATCH(D$7,ТабЗаказы[#Headers],0),0),"")</f>
        <v/>
      </c>
      <c r="E229" s="1" t="str">
        <f>IFERROR(VLOOKUP(ТабПозиции[[#This Row],[orderNum]],ТабЗаказы[#Data],MATCH(E$7,ТабЗаказы[#Headers],0),0),"")</f>
        <v/>
      </c>
      <c r="F229" s="16" t="s">
        <v>756</v>
      </c>
      <c r="G229" s="40" t="s">
        <v>545</v>
      </c>
      <c r="I229" s="18">
        <v>45403</v>
      </c>
      <c r="J229" s="10">
        <v>1</v>
      </c>
      <c r="K229" s="10">
        <v>575</v>
      </c>
      <c r="L229">
        <v>575</v>
      </c>
      <c r="M229" s="10">
        <v>627</v>
      </c>
      <c r="N229">
        <f t="shared" si="3"/>
        <v>627</v>
      </c>
      <c r="P2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Row],[orderNum]],ТабПозиции[orderSumm])&gt;1500),ABS(N229*VLOOKUP(ТабПозиции[[#This Row],[orderNum]],ТабЗаказы[#Data],MATCH("Percent",ТабЗаказы[#Headers],0),0))/100,200/COUNTIF(ТабПозиции[orderNum],ТабПозиции[[#This Row],[orderNum]])),0),"")</f>
        <v>94</v>
      </c>
      <c r="Q229">
        <f>IF(OR(ТабПозиции[[#This Row],[item]]="По штрихкоду",ТабПозиции[[#This Row],[item]]="Посылка"),ТабПозиции[[#This Row],[deliverySumm]]+ТабПозиции[[#This Row],[deliveryPost]],SUM(N229:P229))</f>
        <v>721</v>
      </c>
      <c r="R229" s="41">
        <v>721</v>
      </c>
      <c r="S229" s="46">
        <f>ТабПозиции[[#This Row],[totalSumm]]-ТабПозиции[[#This Row],[payment]]</f>
        <v>0</v>
      </c>
      <c r="T229" s="18" t="s">
        <v>580</v>
      </c>
      <c r="U229" s="40" t="s">
        <v>545</v>
      </c>
      <c r="V229" s="40" t="s">
        <v>545</v>
      </c>
      <c r="W229" s="40" t="s">
        <v>545</v>
      </c>
      <c r="X229" s="3"/>
      <c r="Y229"/>
    </row>
    <row r="230" spans="1:25" hidden="1" x14ac:dyDescent="0.25">
      <c r="A230" s="10">
        <v>69</v>
      </c>
      <c r="B230" s="1">
        <f>IFERROR(VLOOKUP(ТабПозиции[[#This Row],[orderNum]],ТабЗаказы[#Data],MATCH(B$7,ТабЗаказы[#Headers],0),0),"")</f>
        <v>45402</v>
      </c>
      <c r="C230" t="str">
        <f>MONTH(ТабПозиции[[#This Row],[date]])&amp;"/"&amp;YEAR(ТабПозиции[[#This Row],[date]])</f>
        <v>4/2024</v>
      </c>
      <c r="D230" s="1" t="str">
        <f>IFERROR(VLOOKUP(ТабПозиции[[#This Row],[orderNum]],ТабЗаказы[#Data],MATCH(D$7,ТабЗаказы[#Headers],0),0),"")</f>
        <v/>
      </c>
      <c r="E230" s="1" t="str">
        <f>IFERROR(VLOOKUP(ТабПозиции[[#This Row],[orderNum]],ТабЗаказы[#Data],MATCH(E$7,ТабЗаказы[#Headers],0),0),"")</f>
        <v/>
      </c>
      <c r="F230" s="16" t="s">
        <v>757</v>
      </c>
      <c r="G230" s="40" t="s">
        <v>545</v>
      </c>
      <c r="I230" s="18">
        <v>45403</v>
      </c>
      <c r="J230" s="10">
        <v>1</v>
      </c>
      <c r="K230" s="10">
        <v>664</v>
      </c>
      <c r="L230">
        <v>664</v>
      </c>
      <c r="M230" s="10">
        <v>723</v>
      </c>
      <c r="N230">
        <f t="shared" si="3"/>
        <v>723</v>
      </c>
      <c r="P2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Row],[orderNum]],ТабПозиции[orderSumm])&gt;1500),ABS(N230*VLOOKUP(ТабПозиции[[#This Row],[orderNum]],ТабЗаказы[#Data],MATCH("Percent",ТабЗаказы[#Headers],0),0))/100,200/COUNTIF(ТабПозиции[orderNum],ТабПозиции[[#This Row],[orderNum]])),0),"")</f>
        <v>108</v>
      </c>
      <c r="Q230">
        <f>IF(OR(ТабПозиции[[#This Row],[item]]="По штрихкоду",ТабПозиции[[#This Row],[item]]="Посылка"),ТабПозиции[[#This Row],[deliverySumm]]+ТабПозиции[[#This Row],[deliveryPost]],SUM(N230:P230))</f>
        <v>831</v>
      </c>
      <c r="R230" s="41">
        <v>831</v>
      </c>
      <c r="S230" s="46">
        <f>ТабПозиции[[#This Row],[totalSumm]]-ТабПозиции[[#This Row],[payment]]</f>
        <v>0</v>
      </c>
      <c r="T230" s="18" t="s">
        <v>580</v>
      </c>
      <c r="U230" s="40" t="s">
        <v>545</v>
      </c>
      <c r="V230" s="40" t="s">
        <v>545</v>
      </c>
      <c r="W230" s="40" t="s">
        <v>545</v>
      </c>
      <c r="X230" s="3"/>
      <c r="Y230"/>
    </row>
    <row r="231" spans="1:25" hidden="1" x14ac:dyDescent="0.25">
      <c r="A231" s="10">
        <v>69</v>
      </c>
      <c r="B231" s="1">
        <f>IFERROR(VLOOKUP(ТабПозиции[[#This Row],[orderNum]],ТабЗаказы[#Data],MATCH(B$7,ТабЗаказы[#Headers],0),0),"")</f>
        <v>45402</v>
      </c>
      <c r="C231" t="str">
        <f>MONTH(ТабПозиции[[#This Row],[date]])&amp;"/"&amp;YEAR(ТабПозиции[[#This Row],[date]])</f>
        <v>4/2024</v>
      </c>
      <c r="D231" s="1" t="str">
        <f>IFERROR(VLOOKUP(ТабПозиции[[#This Row],[orderNum]],ТабЗаказы[#Data],MATCH(D$7,ТабЗаказы[#Headers],0),0),"")</f>
        <v/>
      </c>
      <c r="E231" s="1" t="str">
        <f>IFERROR(VLOOKUP(ТабПозиции[[#This Row],[orderNum]],ТабЗаказы[#Data],MATCH(E$7,ТабЗаказы[#Headers],0),0),"")</f>
        <v/>
      </c>
      <c r="F231" s="16" t="s">
        <v>758</v>
      </c>
      <c r="G231" s="40" t="s">
        <v>545</v>
      </c>
      <c r="I231" s="18">
        <v>45403</v>
      </c>
      <c r="J231" s="10">
        <v>1</v>
      </c>
      <c r="K231" s="10">
        <v>262</v>
      </c>
      <c r="L231">
        <v>262</v>
      </c>
      <c r="M231" s="10">
        <v>267</v>
      </c>
      <c r="N231">
        <f t="shared" si="3"/>
        <v>267</v>
      </c>
      <c r="P2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Row],[orderNum]],ТабПозиции[orderSumm])&gt;1500),ABS(N231*VLOOKUP(ТабПозиции[[#This Row],[orderNum]],ТабЗаказы[#Data],MATCH("Percent",ТабЗаказы[#Headers],0),0))/100,200/COUNTIF(ТабПозиции[orderNum],ТабПозиции[[#This Row],[orderNum]])),0),"")</f>
        <v>40</v>
      </c>
      <c r="Q231">
        <f>IF(OR(ТабПозиции[[#This Row],[item]]="По штрихкоду",ТабПозиции[[#This Row],[item]]="Посылка"),ТабПозиции[[#This Row],[deliverySumm]]+ТабПозиции[[#This Row],[deliveryPost]],SUM(N231:P231))</f>
        <v>307</v>
      </c>
      <c r="R231" s="41">
        <v>307</v>
      </c>
      <c r="S231" s="46">
        <f>ТабПозиции[[#This Row],[totalSumm]]-ТабПозиции[[#This Row],[payment]]</f>
        <v>0</v>
      </c>
      <c r="T231" s="18" t="s">
        <v>580</v>
      </c>
      <c r="U231" s="40" t="s">
        <v>545</v>
      </c>
      <c r="V231" s="40" t="s">
        <v>545</v>
      </c>
      <c r="W231" s="40" t="s">
        <v>545</v>
      </c>
      <c r="X231" s="3"/>
      <c r="Y231"/>
    </row>
    <row r="232" spans="1:25" hidden="1" x14ac:dyDescent="0.25">
      <c r="A232" s="10">
        <v>69</v>
      </c>
      <c r="B232" s="1">
        <f>IFERROR(VLOOKUP(ТабПозиции[[#This Row],[orderNum]],ТабЗаказы[#Data],MATCH(B$7,ТабЗаказы[#Headers],0),0),"")</f>
        <v>45402</v>
      </c>
      <c r="C232" t="str">
        <f>MONTH(ТабПозиции[[#This Row],[date]])&amp;"/"&amp;YEAR(ТабПозиции[[#This Row],[date]])</f>
        <v>4/2024</v>
      </c>
      <c r="D232" s="1" t="str">
        <f>IFERROR(VLOOKUP(ТабПозиции[[#This Row],[orderNum]],ТабЗаказы[#Data],MATCH(D$7,ТабЗаказы[#Headers],0),0),"")</f>
        <v/>
      </c>
      <c r="E232" s="1" t="str">
        <f>IFERROR(VLOOKUP(ТабПозиции[[#This Row],[orderNum]],ТабЗаказы[#Data],MATCH(E$7,ТабЗаказы[#Headers],0),0),"")</f>
        <v/>
      </c>
      <c r="F232" s="16" t="s">
        <v>759</v>
      </c>
      <c r="G232" s="40" t="s">
        <v>545</v>
      </c>
      <c r="I232" s="18">
        <v>45403</v>
      </c>
      <c r="K232" s="10">
        <v>372</v>
      </c>
      <c r="L232">
        <v>0</v>
      </c>
      <c r="M232" s="10">
        <v>380</v>
      </c>
      <c r="N232">
        <f t="shared" si="3"/>
        <v>0</v>
      </c>
      <c r="P2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Row],[orderNum]],ТабПозиции[orderSumm])&gt;1500),ABS(N232*VLOOKUP(ТабПозиции[[#This Row],[orderNum]],ТабЗаказы[#Data],MATCH("Percent",ТабЗаказы[#Headers],0),0))/100,200/COUNTIF(ТабПозиции[orderNum],ТабПозиции[[#This Row],[orderNum]])),0),"")</f>
        <v>0</v>
      </c>
      <c r="Q232">
        <f>IF(OR(ТабПозиции[[#This Row],[item]]="По штрихкоду",ТабПозиции[[#This Row],[item]]="Посылка"),ТабПозиции[[#This Row],[deliverySumm]]+ТабПозиции[[#This Row],[deliveryPost]],SUM(N232:P232))</f>
        <v>0</v>
      </c>
      <c r="R232" s="41">
        <v>0</v>
      </c>
      <c r="S232" s="46">
        <f>ТабПозиции[[#This Row],[totalSumm]]-ТабПозиции[[#This Row],[payment]]</f>
        <v>0</v>
      </c>
      <c r="T232" s="18" t="s">
        <v>580</v>
      </c>
      <c r="U232" s="40" t="s">
        <v>545</v>
      </c>
      <c r="V232" s="40" t="s">
        <v>545</v>
      </c>
      <c r="W232" s="40" t="s">
        <v>545</v>
      </c>
      <c r="X232" s="3"/>
      <c r="Y232"/>
    </row>
    <row r="233" spans="1:25" hidden="1" x14ac:dyDescent="0.25">
      <c r="A233" s="10">
        <v>69</v>
      </c>
      <c r="B233" s="1">
        <f>IFERROR(VLOOKUP(ТабПозиции[[#This Row],[orderNum]],ТабЗаказы[#Data],MATCH(B$7,ТабЗаказы[#Headers],0),0),"")</f>
        <v>45402</v>
      </c>
      <c r="C233" t="str">
        <f>MONTH(ТабПозиции[[#This Row],[date]])&amp;"/"&amp;YEAR(ТабПозиции[[#This Row],[date]])</f>
        <v>4/2024</v>
      </c>
      <c r="D233" s="1" t="str">
        <f>IFERROR(VLOOKUP(ТабПозиции[[#This Row],[orderNum]],ТабЗаказы[#Data],MATCH(D$7,ТабЗаказы[#Headers],0),0),"")</f>
        <v/>
      </c>
      <c r="E233" s="1" t="str">
        <f>IFERROR(VLOOKUP(ТабПозиции[[#This Row],[orderNum]],ТабЗаказы[#Data],MATCH(E$7,ТабЗаказы[#Headers],0),0),"")</f>
        <v/>
      </c>
      <c r="F233" s="16" t="s">
        <v>760</v>
      </c>
      <c r="G233" s="40" t="s">
        <v>545</v>
      </c>
      <c r="I233" s="18">
        <v>45403</v>
      </c>
      <c r="J233" s="10">
        <v>1</v>
      </c>
      <c r="K233" s="10">
        <v>406</v>
      </c>
      <c r="L233">
        <v>406</v>
      </c>
      <c r="M233" s="10">
        <v>427</v>
      </c>
      <c r="N233">
        <f t="shared" si="3"/>
        <v>427</v>
      </c>
      <c r="P2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Row],[orderNum]],ТабПозиции[orderSumm])&gt;1500),ABS(N233*VLOOKUP(ТабПозиции[[#This Row],[orderNum]],ТабЗаказы[#Data],MATCH("Percent",ТабЗаказы[#Headers],0),0))/100,200/COUNTIF(ТабПозиции[orderNum],ТабПозиции[[#This Row],[orderNum]])),0),"")</f>
        <v>64</v>
      </c>
      <c r="Q233">
        <f>IF(OR(ТабПозиции[[#This Row],[item]]="По штрихкоду",ТабПозиции[[#This Row],[item]]="Посылка"),ТабПозиции[[#This Row],[deliverySumm]]+ТабПозиции[[#This Row],[deliveryPost]],SUM(N233:P233))</f>
        <v>491</v>
      </c>
      <c r="R233" s="41">
        <v>491</v>
      </c>
      <c r="S233" s="46">
        <f>ТабПозиции[[#This Row],[totalSumm]]-ТабПозиции[[#This Row],[payment]]</f>
        <v>0</v>
      </c>
      <c r="T233" s="18" t="s">
        <v>580</v>
      </c>
      <c r="U233" s="40" t="s">
        <v>545</v>
      </c>
      <c r="V233" s="40" t="s">
        <v>545</v>
      </c>
      <c r="W233" s="40" t="s">
        <v>545</v>
      </c>
      <c r="X233" s="3"/>
      <c r="Y233"/>
    </row>
    <row r="234" spans="1:25" hidden="1" x14ac:dyDescent="0.25">
      <c r="A234" s="10">
        <v>69</v>
      </c>
      <c r="B234" s="1">
        <f>IFERROR(VLOOKUP(ТабПозиции[[#This Row],[orderNum]],ТабЗаказы[#Data],MATCH(B$7,ТабЗаказы[#Headers],0),0),"")</f>
        <v>45402</v>
      </c>
      <c r="C234" t="str">
        <f>MONTH(ТабПозиции[[#This Row],[date]])&amp;"/"&amp;YEAR(ТабПозиции[[#This Row],[date]])</f>
        <v>4/2024</v>
      </c>
      <c r="D234" s="1" t="str">
        <f>IFERROR(VLOOKUP(ТабПозиции[[#This Row],[orderNum]],ТабЗаказы[#Data],MATCH(D$7,ТабЗаказы[#Headers],0),0),"")</f>
        <v/>
      </c>
      <c r="E234" s="1" t="str">
        <f>IFERROR(VLOOKUP(ТабПозиции[[#This Row],[orderNum]],ТабЗаказы[#Data],MATCH(E$7,ТабЗаказы[#Headers],0),0),"")</f>
        <v/>
      </c>
      <c r="F234" s="16" t="s">
        <v>761</v>
      </c>
      <c r="G234" s="40" t="s">
        <v>545</v>
      </c>
      <c r="I234" s="18">
        <v>45403</v>
      </c>
      <c r="J234" s="10">
        <v>1</v>
      </c>
      <c r="K234" s="10">
        <v>1201</v>
      </c>
      <c r="L234">
        <v>1201</v>
      </c>
      <c r="M234" s="10">
        <v>1238</v>
      </c>
      <c r="N234">
        <f t="shared" si="3"/>
        <v>1238</v>
      </c>
      <c r="P2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Row],[orderNum]],ТабПозиции[orderSumm])&gt;1500),ABS(N234*VLOOKUP(ТабПозиции[[#This Row],[orderNum]],ТабЗаказы[#Data],MATCH("Percent",ТабЗаказы[#Headers],0),0))/100,200/COUNTIF(ТабПозиции[orderNum],ТабПозиции[[#This Row],[orderNum]])),0),"")</f>
        <v>186</v>
      </c>
      <c r="Q234">
        <f>IF(OR(ТабПозиции[[#This Row],[item]]="По штрихкоду",ТабПозиции[[#This Row],[item]]="Посылка"),ТабПозиции[[#This Row],[deliverySumm]]+ТабПозиции[[#This Row],[deliveryPost]],SUM(N234:P234))</f>
        <v>1424</v>
      </c>
      <c r="R234" s="41">
        <v>1424</v>
      </c>
      <c r="S234" s="46">
        <f>ТабПозиции[[#This Row],[totalSumm]]-ТабПозиции[[#This Row],[payment]]</f>
        <v>0</v>
      </c>
      <c r="T234" s="18" t="s">
        <v>580</v>
      </c>
      <c r="U234" s="40" t="s">
        <v>545</v>
      </c>
      <c r="V234" s="40" t="s">
        <v>545</v>
      </c>
      <c r="W234" s="40" t="s">
        <v>545</v>
      </c>
      <c r="X234" s="3"/>
      <c r="Y234"/>
    </row>
    <row r="235" spans="1:25" hidden="1" x14ac:dyDescent="0.25">
      <c r="A235" s="10">
        <v>69</v>
      </c>
      <c r="B235" s="1">
        <f>IFERROR(VLOOKUP(ТабПозиции[[#This Row],[orderNum]],ТабЗаказы[#Data],MATCH(B$7,ТабЗаказы[#Headers],0),0),"")</f>
        <v>45402</v>
      </c>
      <c r="C235" t="str">
        <f>MONTH(ТабПозиции[[#This Row],[date]])&amp;"/"&amp;YEAR(ТабПозиции[[#This Row],[date]])</f>
        <v>4/2024</v>
      </c>
      <c r="D235" s="1" t="str">
        <f>IFERROR(VLOOKUP(ТабПозиции[[#This Row],[orderNum]],ТабЗаказы[#Data],MATCH(D$7,ТабЗаказы[#Headers],0),0),"")</f>
        <v/>
      </c>
      <c r="E235" s="1" t="str">
        <f>IFERROR(VLOOKUP(ТабПозиции[[#This Row],[orderNum]],ТабЗаказы[#Data],MATCH(E$7,ТабЗаказы[#Headers],0),0),"")</f>
        <v/>
      </c>
      <c r="F235" s="16" t="s">
        <v>762</v>
      </c>
      <c r="G235" s="40" t="s">
        <v>545</v>
      </c>
      <c r="I235" s="18">
        <v>45405</v>
      </c>
      <c r="J235" s="10">
        <v>5</v>
      </c>
      <c r="K235" s="10">
        <v>155</v>
      </c>
      <c r="L235">
        <v>775</v>
      </c>
      <c r="M235" s="10">
        <v>158</v>
      </c>
      <c r="N235">
        <f t="shared" si="3"/>
        <v>790</v>
      </c>
      <c r="P2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Row],[orderNum]],ТабПозиции[orderSumm])&gt;1500),ABS(N235*VLOOKUP(ТабПозиции[[#This Row],[orderNum]],ТабЗаказы[#Data],MATCH("Percent",ТабЗаказы[#Headers],0),0))/100,200/COUNTIF(ТабПозиции[orderNum],ТабПозиции[[#This Row],[orderNum]])),0),"")</f>
        <v>119</v>
      </c>
      <c r="Q235">
        <f>IF(OR(ТабПозиции[[#This Row],[item]]="По штрихкоду",ТабПозиции[[#This Row],[item]]="Посылка"),ТабПозиции[[#This Row],[deliverySumm]]+ТабПозиции[[#This Row],[deliveryPost]],SUM(N235:P235))</f>
        <v>909</v>
      </c>
      <c r="R235" s="41">
        <v>909</v>
      </c>
      <c r="S235" s="46">
        <f>ТабПозиции[[#This Row],[totalSumm]]-ТабПозиции[[#This Row],[payment]]</f>
        <v>0</v>
      </c>
      <c r="T235" s="18" t="s">
        <v>580</v>
      </c>
      <c r="U235" s="40" t="s">
        <v>545</v>
      </c>
      <c r="V235" s="40" t="s">
        <v>545</v>
      </c>
      <c r="W235" s="40" t="s">
        <v>545</v>
      </c>
      <c r="X235" s="3"/>
      <c r="Y235"/>
    </row>
    <row r="236" spans="1:25" hidden="1" x14ac:dyDescent="0.25">
      <c r="A236" s="10">
        <v>71</v>
      </c>
      <c r="B236" s="1">
        <f>IFERROR(VLOOKUP(ТабПозиции[[#This Row],[orderNum]],ТабЗаказы[#Data],MATCH(B$7,ТабЗаказы[#Headers],0),0),"")</f>
        <v>45405</v>
      </c>
      <c r="C236" t="str">
        <f>MONTH(ТабПозиции[[#This Row],[date]])&amp;"/"&amp;YEAR(ТабПозиции[[#This Row],[date]])</f>
        <v>4/2024</v>
      </c>
      <c r="D236" s="1" t="str">
        <f>IFERROR(VLOOKUP(ТабПозиции[[#This Row],[orderNum]],ТабЗаказы[#Data],MATCH(D$7,ТабЗаказы[#Headers],0),0),"")</f>
        <v/>
      </c>
      <c r="E236" s="1" t="str">
        <f>IFERROR(VLOOKUP(ТабПозиции[[#This Row],[orderNum]],ТабЗаказы[#Data],MATCH(E$7,ТабЗаказы[#Headers],0),0),"")</f>
        <v/>
      </c>
      <c r="F236" s="16" t="s">
        <v>763</v>
      </c>
      <c r="G236" s="40" t="s">
        <v>545</v>
      </c>
      <c r="I236" s="18">
        <v>45406</v>
      </c>
      <c r="J236" s="10">
        <v>1</v>
      </c>
      <c r="K236" s="10">
        <v>468</v>
      </c>
      <c r="L236">
        <v>468</v>
      </c>
      <c r="M236" s="10">
        <v>483</v>
      </c>
      <c r="N236">
        <f t="shared" si="3"/>
        <v>483</v>
      </c>
      <c r="P2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Row],[orderNum]],ТабПозиции[orderSumm])&gt;1500),ABS(N236*VLOOKUP(ТабПозиции[[#This Row],[orderNum]],ТабЗаказы[#Data],MATCH("Percent",ТабЗаказы[#Headers],0),0))/100,200/COUNTIF(ТабПозиции[orderNum],ТабПозиции[[#This Row],[orderNum]])),0),"")</f>
        <v>67</v>
      </c>
      <c r="Q236">
        <f>IF(OR(ТабПозиции[[#This Row],[item]]="По штрихкоду",ТабПозиции[[#This Row],[item]]="Посылка"),ТабПозиции[[#This Row],[deliverySumm]]+ТабПозиции[[#This Row],[deliveryPost]],SUM(N236:P236))</f>
        <v>550</v>
      </c>
      <c r="R236" s="41">
        <v>550</v>
      </c>
      <c r="S236" s="46">
        <f>ТабПозиции[[#This Row],[totalSumm]]-ТабПозиции[[#This Row],[payment]]</f>
        <v>0</v>
      </c>
      <c r="T236" s="18" t="s">
        <v>580</v>
      </c>
      <c r="U236" s="40" t="s">
        <v>545</v>
      </c>
      <c r="V236" s="40" t="s">
        <v>545</v>
      </c>
      <c r="W236" s="40" t="s">
        <v>545</v>
      </c>
      <c r="X236" s="3"/>
      <c r="Y236"/>
    </row>
    <row r="237" spans="1:25" hidden="1" x14ac:dyDescent="0.25">
      <c r="A237" s="10">
        <v>71</v>
      </c>
      <c r="B237" s="1">
        <f>IFERROR(VLOOKUP(ТабПозиции[[#This Row],[orderNum]],ТабЗаказы[#Data],MATCH(B$7,ТабЗаказы[#Headers],0),0),"")</f>
        <v>45405</v>
      </c>
      <c r="C237" t="str">
        <f>MONTH(ТабПозиции[[#This Row],[date]])&amp;"/"&amp;YEAR(ТабПозиции[[#This Row],[date]])</f>
        <v>4/2024</v>
      </c>
      <c r="D237" s="1" t="str">
        <f>IFERROR(VLOOKUP(ТабПозиции[[#This Row],[orderNum]],ТабЗаказы[#Data],MATCH(D$7,ТабЗаказы[#Headers],0),0),"")</f>
        <v/>
      </c>
      <c r="E237" s="1" t="str">
        <f>IFERROR(VLOOKUP(ТабПозиции[[#This Row],[orderNum]],ТабЗаказы[#Data],MATCH(E$7,ТабЗаказы[#Headers],0),0),"")</f>
        <v/>
      </c>
      <c r="F237" s="16" t="s">
        <v>764</v>
      </c>
      <c r="G237" s="40" t="s">
        <v>545</v>
      </c>
      <c r="I237" s="18">
        <v>45406</v>
      </c>
      <c r="J237" s="10">
        <v>1</v>
      </c>
      <c r="K237" s="10">
        <v>290</v>
      </c>
      <c r="L237">
        <v>290</v>
      </c>
      <c r="M237" s="10">
        <v>299</v>
      </c>
      <c r="N237">
        <f t="shared" si="3"/>
        <v>299</v>
      </c>
      <c r="P2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Row],[orderNum]],ТабПозиции[orderSumm])&gt;1500),ABS(N237*VLOOKUP(ТабПозиции[[#This Row],[orderNum]],ТабЗаказы[#Data],MATCH("Percent",ТабЗаказы[#Headers],0),0))/100,200/COUNTIF(ТабПозиции[orderNum],ТабПозиции[[#This Row],[orderNum]])),0),"")</f>
        <v>67</v>
      </c>
      <c r="Q237">
        <f>IF(OR(ТабПозиции[[#This Row],[item]]="По штрихкоду",ТабПозиции[[#This Row],[item]]="Посылка"),ТабПозиции[[#This Row],[deliverySumm]]+ТабПозиции[[#This Row],[deliveryPost]],SUM(N237:P237))</f>
        <v>366</v>
      </c>
      <c r="R237" s="41">
        <v>366</v>
      </c>
      <c r="S237" s="46">
        <f>ТабПозиции[[#This Row],[totalSumm]]-ТабПозиции[[#This Row],[payment]]</f>
        <v>0</v>
      </c>
      <c r="T237" s="18" t="s">
        <v>580</v>
      </c>
      <c r="U237" s="40" t="s">
        <v>545</v>
      </c>
      <c r="V237" s="40" t="s">
        <v>545</v>
      </c>
      <c r="W237" s="40" t="s">
        <v>545</v>
      </c>
      <c r="X237" s="3"/>
      <c r="Y237"/>
    </row>
    <row r="238" spans="1:25" hidden="1" x14ac:dyDescent="0.25">
      <c r="A238" s="10">
        <v>71</v>
      </c>
      <c r="B238" s="1">
        <f>IFERROR(VLOOKUP(ТабПозиции[[#This Row],[orderNum]],ТабЗаказы[#Data],MATCH(B$7,ТабЗаказы[#Headers],0),0),"")</f>
        <v>45405</v>
      </c>
      <c r="C238" t="str">
        <f>MONTH(ТабПозиции[[#This Row],[date]])&amp;"/"&amp;YEAR(ТабПозиции[[#This Row],[date]])</f>
        <v>4/2024</v>
      </c>
      <c r="D238" s="1" t="str">
        <f>IFERROR(VLOOKUP(ТабПозиции[[#This Row],[orderNum]],ТабЗаказы[#Data],MATCH(D$7,ТабЗаказы[#Headers],0),0),"")</f>
        <v/>
      </c>
      <c r="E238" s="1" t="str">
        <f>IFERROR(VLOOKUP(ТабПозиции[[#This Row],[orderNum]],ТабЗаказы[#Data],MATCH(E$7,ТабЗаказы[#Headers],0),0),"")</f>
        <v/>
      </c>
      <c r="F238" s="16" t="s">
        <v>765</v>
      </c>
      <c r="G238" s="40" t="s">
        <v>545</v>
      </c>
      <c r="I238" s="18">
        <v>45413</v>
      </c>
      <c r="J238" s="10">
        <v>1</v>
      </c>
      <c r="K238" s="10">
        <v>508</v>
      </c>
      <c r="L238">
        <v>508</v>
      </c>
      <c r="M238" s="10">
        <v>545</v>
      </c>
      <c r="N238">
        <f t="shared" si="3"/>
        <v>545</v>
      </c>
      <c r="P238" s="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Row],[orderNum]],ТабПозиции[orderSumm])&gt;1500),ABS(N238*VLOOKUP(ТабПозиции[[#This Row],[orderNum]],ТабЗаказы[#Data],MATCH("Percent",ТабЗаказы[#Headers],0),0))/100,200/COUNTIF(ТабПозиции[orderNum],ТабПозиции[[#This Row],[orderNum]])),0),"")</f>
        <v>67</v>
      </c>
      <c r="Q238">
        <f>IF(OR(ТабПозиции[[#This Row],[item]]="По штрихкоду",ТабПозиции[[#This Row],[item]]="Посылка"),ТабПозиции[[#This Row],[deliverySumm]]+ТабПозиции[[#This Row],[deliveryPost]],SUM(N238:P238))</f>
        <v>612</v>
      </c>
      <c r="R238" s="41">
        <v>612</v>
      </c>
      <c r="S238" s="46">
        <f>ТабПозиции[[#This Row],[totalSumm]]-ТабПозиции[[#This Row],[payment]]</f>
        <v>0</v>
      </c>
      <c r="T238" s="18" t="s">
        <v>580</v>
      </c>
      <c r="U238" s="40" t="s">
        <v>545</v>
      </c>
      <c r="V238" s="40" t="s">
        <v>545</v>
      </c>
      <c r="W238" s="40" t="s">
        <v>545</v>
      </c>
      <c r="X238" s="3"/>
      <c r="Y238"/>
    </row>
    <row r="239" spans="1:25" hidden="1" x14ac:dyDescent="0.25">
      <c r="A239" s="10">
        <v>72</v>
      </c>
      <c r="B239" s="1">
        <f>IFERROR(VLOOKUP(ТабПозиции[[#This Row],[orderNum]],ТабЗаказы[#Data],MATCH(B$7,ТабЗаказы[#Headers],0),0),"")</f>
        <v>45407</v>
      </c>
      <c r="C239" t="str">
        <f>MONTH(ТабПозиции[[#This Row],[date]])&amp;"/"&amp;YEAR(ТабПозиции[[#This Row],[date]])</f>
        <v>4/2024</v>
      </c>
      <c r="D239" s="1" t="str">
        <f>IFERROR(VLOOKUP(ТабПозиции[[#This Row],[orderNum]],ТабЗаказы[#Data],MATCH(D$7,ТабЗаказы[#Headers],0),0),"")</f>
        <v/>
      </c>
      <c r="E239" s="1" t="str">
        <f>IFERROR(VLOOKUP(ТабПозиции[[#This Row],[orderNum]],ТабЗаказы[#Data],MATCH(E$7,ТабЗаказы[#Headers],0),0),"")</f>
        <v/>
      </c>
      <c r="F239" s="16" t="s">
        <v>766</v>
      </c>
      <c r="G239" s="40" t="s">
        <v>545</v>
      </c>
      <c r="I239" s="18">
        <v>45408</v>
      </c>
      <c r="J239" s="10">
        <v>1</v>
      </c>
      <c r="K239" s="10">
        <v>1457</v>
      </c>
      <c r="L239">
        <v>1457</v>
      </c>
      <c r="M239" s="10">
        <v>1553</v>
      </c>
      <c r="N239">
        <f t="shared" si="3"/>
        <v>1553</v>
      </c>
      <c r="P2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Row],[orderNum]],ТабПозиции[orderSumm])&gt;1500),ABS(N239*VLOOKUP(ТабПозиции[[#This Row],[orderNum]],ТабЗаказы[#Data],MATCH("Percent",ТабЗаказы[#Headers],0),0))/100,200/COUNTIF(ТабПозиции[orderNum],ТабПозиции[[#This Row],[orderNum]])),0),"")</f>
        <v>233</v>
      </c>
      <c r="Q239">
        <f>IF(OR(ТабПозиции[[#This Row],[item]]="По штрихкоду",ТабПозиции[[#This Row],[item]]="Посылка"),ТабПозиции[[#This Row],[deliverySumm]]+ТабПозиции[[#This Row],[deliveryPost]],SUM(N239:P239))</f>
        <v>1786</v>
      </c>
      <c r="R239" s="41">
        <v>1786</v>
      </c>
      <c r="S239" s="46">
        <f>ТабПозиции[[#This Row],[totalSumm]]-ТабПозиции[[#This Row],[payment]]</f>
        <v>0</v>
      </c>
      <c r="T239" s="18" t="s">
        <v>580</v>
      </c>
      <c r="U239" s="40" t="s">
        <v>545</v>
      </c>
      <c r="V239" s="40" t="s">
        <v>545</v>
      </c>
      <c r="W239" s="40" t="s">
        <v>545</v>
      </c>
      <c r="X239" s="3"/>
      <c r="Y239"/>
    </row>
    <row r="240" spans="1:25" hidden="1" x14ac:dyDescent="0.25">
      <c r="A240" s="10">
        <v>72</v>
      </c>
      <c r="B240" s="1">
        <f>IFERROR(VLOOKUP(ТабПозиции[[#This Row],[orderNum]],ТабЗаказы[#Data],MATCH(B$7,ТабЗаказы[#Headers],0),0),"")</f>
        <v>45407</v>
      </c>
      <c r="C240" t="str">
        <f>MONTH(ТабПозиции[[#This Row],[date]])&amp;"/"&amp;YEAR(ТабПозиции[[#This Row],[date]])</f>
        <v>4/2024</v>
      </c>
      <c r="D240" s="1" t="str">
        <f>IFERROR(VLOOKUP(ТабПозиции[[#This Row],[orderNum]],ТабЗаказы[#Data],MATCH(D$7,ТабЗаказы[#Headers],0),0),"")</f>
        <v/>
      </c>
      <c r="E240" s="1" t="str">
        <f>IFERROR(VLOOKUP(ТабПозиции[[#This Row],[orderNum]],ТабЗаказы[#Data],MATCH(E$7,ТабЗаказы[#Headers],0),0),"")</f>
        <v/>
      </c>
      <c r="F240" s="16" t="s">
        <v>633</v>
      </c>
      <c r="G240" s="40" t="s">
        <v>545</v>
      </c>
      <c r="I240" s="18">
        <v>45410</v>
      </c>
      <c r="J240" s="10">
        <v>1</v>
      </c>
      <c r="K240" s="10">
        <v>1349</v>
      </c>
      <c r="L240">
        <v>1349</v>
      </c>
      <c r="M240" s="10">
        <v>1399</v>
      </c>
      <c r="N240">
        <f t="shared" si="3"/>
        <v>1399</v>
      </c>
      <c r="P2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Row],[orderNum]],ТабПозиции[orderSumm])&gt;1500),ABS(N240*VLOOKUP(ТабПозиции[[#This Row],[orderNum]],ТабЗаказы[#Data],MATCH("Percent",ТабЗаказы[#Headers],0),0))/100,200/COUNTIF(ТабПозиции[orderNum],ТабПозиции[[#This Row],[orderNum]])),0),"")</f>
        <v>210</v>
      </c>
      <c r="Q240">
        <f>IF(OR(ТабПозиции[[#This Row],[item]]="По штрихкоду",ТабПозиции[[#This Row],[item]]="Посылка"),ТабПозиции[[#This Row],[deliverySumm]]+ТабПозиции[[#This Row],[deliveryPost]],SUM(N240:P240))</f>
        <v>1609</v>
      </c>
      <c r="R240" s="41">
        <v>1609</v>
      </c>
      <c r="S240" s="46">
        <f>ТабПозиции[[#This Row],[totalSumm]]-ТабПозиции[[#This Row],[payment]]</f>
        <v>0</v>
      </c>
      <c r="T240" s="18" t="s">
        <v>580</v>
      </c>
      <c r="U240" s="40" t="s">
        <v>545</v>
      </c>
      <c r="V240" s="40" t="s">
        <v>545</v>
      </c>
      <c r="W240" s="40" t="s">
        <v>545</v>
      </c>
      <c r="X240" s="3"/>
      <c r="Y240"/>
    </row>
    <row r="241" spans="1:25" hidden="1" x14ac:dyDescent="0.25">
      <c r="A241" s="10">
        <v>73</v>
      </c>
      <c r="B241" s="1">
        <f>IFERROR(VLOOKUP(ТабПозиции[[#This Row],[orderNum]],ТабЗаказы[#Data],MATCH(B$7,ТабЗаказы[#Headers],0),0),"")</f>
        <v>45408</v>
      </c>
      <c r="C241" t="str">
        <f>MONTH(ТабПозиции[[#This Row],[date]])&amp;"/"&amp;YEAR(ТабПозиции[[#This Row],[date]])</f>
        <v>4/2024</v>
      </c>
      <c r="D241" s="1" t="str">
        <f>IFERROR(VLOOKUP(ТабПозиции[[#This Row],[orderNum]],ТабЗаказы[#Data],MATCH(D$7,ТабЗаказы[#Headers],0),0),"")</f>
        <v/>
      </c>
      <c r="E241" s="1" t="str">
        <f>IFERROR(VLOOKUP(ТабПозиции[[#This Row],[orderNum]],ТабЗаказы[#Data],MATCH(E$7,ТабЗаказы[#Headers],0),0),"")</f>
        <v/>
      </c>
      <c r="F241" s="10" t="s">
        <v>32</v>
      </c>
      <c r="G241" s="40" t="s">
        <v>545</v>
      </c>
      <c r="I241" s="18">
        <v>45408</v>
      </c>
      <c r="J241" s="10">
        <v>1</v>
      </c>
      <c r="K241" s="10">
        <v>0</v>
      </c>
      <c r="L241">
        <v>0</v>
      </c>
      <c r="M241" s="10">
        <v>10471</v>
      </c>
      <c r="N241">
        <f t="shared" si="3"/>
        <v>10471</v>
      </c>
      <c r="P2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Row],[orderNum]],ТабПозиции[orderSumm])&gt;1500),ABS(N241*VLOOKUP(ТабПозиции[[#This Row],[orderNum]],ТабЗаказы[#Data],MATCH("Percent",ТабЗаказы[#Headers],0),0))/100,200/COUNTIF(ТабПозиции[orderNum],ТабПозиции[[#This Row],[orderNum]])),0),"")</f>
        <v>1047</v>
      </c>
      <c r="Q241">
        <f>IF(OR(ТабПозиции[[#This Row],[item]]="По штрихкоду",ТабПозиции[[#This Row],[item]]="Посылка"),ТабПозиции[[#This Row],[deliverySumm]]+ТабПозиции[[#This Row],[deliveryPost]],SUM(N241:P241))</f>
        <v>1047</v>
      </c>
      <c r="R241" s="41">
        <v>1047</v>
      </c>
      <c r="S241" s="46">
        <f>ТабПозиции[[#This Row],[totalSumm]]-ТабПозиции[[#This Row],[payment]]</f>
        <v>0</v>
      </c>
      <c r="T241" s="18" t="s">
        <v>580</v>
      </c>
      <c r="U241" s="40" t="s">
        <v>545</v>
      </c>
      <c r="V241" s="40" t="s">
        <v>545</v>
      </c>
      <c r="W241" s="40" t="s">
        <v>545</v>
      </c>
      <c r="X241" s="3"/>
      <c r="Y241"/>
    </row>
    <row r="242" spans="1:25" hidden="1" x14ac:dyDescent="0.25">
      <c r="A242" s="10">
        <v>74</v>
      </c>
      <c r="B242" s="1">
        <f>IFERROR(VLOOKUP(ТабПозиции[[#This Row],[orderNum]],ТабЗаказы[#Data],MATCH(B$7,ТабЗаказы[#Headers],0),0),"")</f>
        <v>45408</v>
      </c>
      <c r="C242" t="str">
        <f>MONTH(ТабПозиции[[#This Row],[date]])&amp;"/"&amp;YEAR(ТабПозиции[[#This Row],[date]])</f>
        <v>4/2024</v>
      </c>
      <c r="D242" s="1" t="str">
        <f>IFERROR(VLOOKUP(ТабПозиции[[#This Row],[orderNum]],ТабЗаказы[#Data],MATCH(D$7,ТабЗаказы[#Headers],0),0),"")</f>
        <v/>
      </c>
      <c r="E242" s="1" t="str">
        <f>IFERROR(VLOOKUP(ТабПозиции[[#This Row],[orderNum]],ТабЗаказы[#Data],MATCH(E$7,ТабЗаказы[#Headers],0),0),"")</f>
        <v/>
      </c>
      <c r="F242" s="10" t="s">
        <v>32</v>
      </c>
      <c r="G242" s="40" t="s">
        <v>545</v>
      </c>
      <c r="I242" s="18">
        <v>45408</v>
      </c>
      <c r="J242" s="10">
        <v>1</v>
      </c>
      <c r="K242" s="10">
        <v>0</v>
      </c>
      <c r="L242">
        <v>0</v>
      </c>
      <c r="M242" s="10">
        <v>4329</v>
      </c>
      <c r="N242">
        <f t="shared" si="3"/>
        <v>4329</v>
      </c>
      <c r="P2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Row],[orderNum]],ТабПозиции[orderSumm])&gt;1500),ABS(N242*VLOOKUP(ТабПозиции[[#This Row],[orderNum]],ТабЗаказы[#Data],MATCH("Percent",ТабЗаказы[#Headers],0),0))/100,200/COUNTIF(ТабПозиции[orderNum],ТабПозиции[[#This Row],[orderNum]])),0),"")</f>
        <v>649</v>
      </c>
      <c r="Q242">
        <f>IF(OR(ТабПозиции[[#This Row],[item]]="По штрихкоду",ТабПозиции[[#This Row],[item]]="Посылка"),ТабПозиции[[#This Row],[deliverySumm]]+ТабПозиции[[#This Row],[deliveryPost]],SUM(N242:P242))</f>
        <v>649</v>
      </c>
      <c r="R242" s="41">
        <v>649</v>
      </c>
      <c r="S242" s="46">
        <f>ТабПозиции[[#This Row],[totalSumm]]-ТабПозиции[[#This Row],[payment]]</f>
        <v>0</v>
      </c>
      <c r="T242" s="18" t="s">
        <v>580</v>
      </c>
      <c r="U242" s="40" t="s">
        <v>545</v>
      </c>
      <c r="V242" s="40" t="s">
        <v>545</v>
      </c>
      <c r="W242" s="40" t="s">
        <v>545</v>
      </c>
      <c r="X242" s="3"/>
      <c r="Y242"/>
    </row>
    <row r="243" spans="1:25" hidden="1" x14ac:dyDescent="0.25">
      <c r="A243" s="10">
        <v>75</v>
      </c>
      <c r="B243" s="1">
        <f>IFERROR(VLOOKUP(ТабПозиции[[#This Row],[orderNum]],ТабЗаказы[#Data],MATCH(B$7,ТабЗаказы[#Headers],0),0),"")</f>
        <v>45405</v>
      </c>
      <c r="C243" t="str">
        <f>MONTH(ТабПозиции[[#This Row],[date]])&amp;"/"&amp;YEAR(ТабПозиции[[#This Row],[date]])</f>
        <v>4/2024</v>
      </c>
      <c r="D243" s="1" t="str">
        <f>IFERROR(VLOOKUP(ТабПозиции[[#This Row],[orderNum]],ТабЗаказы[#Data],MATCH(D$7,ТабЗаказы[#Headers],0),0),"")</f>
        <v/>
      </c>
      <c r="E243" s="1" t="str">
        <f>IFERROR(VLOOKUP(ТабПозиции[[#This Row],[orderNum]],ТабЗаказы[#Data],MATCH(E$7,ТабЗаказы[#Headers],0),0),"")</f>
        <v/>
      </c>
      <c r="F243" s="10" t="s">
        <v>767</v>
      </c>
      <c r="G243" s="40" t="s">
        <v>545</v>
      </c>
      <c r="I243" s="18">
        <v>45405</v>
      </c>
      <c r="J243" s="10">
        <v>1</v>
      </c>
      <c r="K243" s="10">
        <v>554</v>
      </c>
      <c r="L243">
        <v>554</v>
      </c>
      <c r="M243" s="10">
        <v>554</v>
      </c>
      <c r="N243">
        <f t="shared" si="3"/>
        <v>554</v>
      </c>
      <c r="P2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Row],[orderNum]],ТабПозиции[orderSumm])&gt;1500),ABS(N243*VLOOKUP(ТабПозиции[[#This Row],[orderNum]],ТабЗаказы[#Data],MATCH("Percent",ТабЗаказы[#Headers],0),0))/100,200/COUNTIF(ТабПозиции[orderNum],ТабПозиции[[#This Row],[orderNum]])),0),"")</f>
        <v>83</v>
      </c>
      <c r="Q243">
        <f>IF(OR(ТабПозиции[[#This Row],[item]]="По штрихкоду",ТабПозиции[[#This Row],[item]]="Посылка"),ТабПозиции[[#This Row],[deliverySumm]]+ТабПозиции[[#This Row],[deliveryPost]],SUM(N243:P243))</f>
        <v>637</v>
      </c>
      <c r="R243" s="41">
        <v>637</v>
      </c>
      <c r="S243" s="46">
        <f>ТабПозиции[[#This Row],[totalSumm]]-ТабПозиции[[#This Row],[payment]]</f>
        <v>0</v>
      </c>
      <c r="T243" s="18" t="s">
        <v>563</v>
      </c>
      <c r="U243" s="40" t="s">
        <v>545</v>
      </c>
      <c r="V243" s="40" t="s">
        <v>545</v>
      </c>
      <c r="W243" s="40" t="s">
        <v>545</v>
      </c>
      <c r="X243" s="3"/>
      <c r="Y243"/>
    </row>
    <row r="244" spans="1:25" hidden="1" x14ac:dyDescent="0.25">
      <c r="A244" s="10">
        <v>75</v>
      </c>
      <c r="B244" s="1">
        <f>IFERROR(VLOOKUP(ТабПозиции[[#This Row],[orderNum]],ТабЗаказы[#Data],MATCH(B$7,ТабЗаказы[#Headers],0),0),"")</f>
        <v>45405</v>
      </c>
      <c r="C244" t="str">
        <f>MONTH(ТабПозиции[[#This Row],[date]])&amp;"/"&amp;YEAR(ТабПозиции[[#This Row],[date]])</f>
        <v>4/2024</v>
      </c>
      <c r="D244" s="1" t="str">
        <f>IFERROR(VLOOKUP(ТабПозиции[[#This Row],[orderNum]],ТабЗаказы[#Data],MATCH(D$7,ТабЗаказы[#Headers],0),0),"")</f>
        <v/>
      </c>
      <c r="E244" s="1" t="str">
        <f>IFERROR(VLOOKUP(ТабПозиции[[#This Row],[orderNum]],ТабЗаказы[#Data],MATCH(E$7,ТабЗаказы[#Headers],0),0),"")</f>
        <v/>
      </c>
      <c r="F244" s="10" t="s">
        <v>768</v>
      </c>
      <c r="G244" s="40" t="s">
        <v>545</v>
      </c>
      <c r="I244" s="18">
        <v>45405</v>
      </c>
      <c r="J244" s="10">
        <v>1</v>
      </c>
      <c r="K244" s="10">
        <v>402</v>
      </c>
      <c r="L244">
        <v>402</v>
      </c>
      <c r="M244" s="10">
        <v>402</v>
      </c>
      <c r="N244">
        <f t="shared" si="3"/>
        <v>402</v>
      </c>
      <c r="P2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Row],[orderNum]],ТабПозиции[orderSumm])&gt;1500),ABS(N244*VLOOKUP(ТабПозиции[[#This Row],[orderNum]],ТабЗаказы[#Data],MATCH("Percent",ТабЗаказы[#Headers],0),0))/100,200/COUNTIF(ТабПозиции[orderNum],ТабПозиции[[#This Row],[orderNum]])),0),"")</f>
        <v>60</v>
      </c>
      <c r="Q244">
        <f>IF(OR(ТабПозиции[[#This Row],[item]]="По штрихкоду",ТабПозиции[[#This Row],[item]]="Посылка"),ТабПозиции[[#This Row],[deliverySumm]]+ТабПозиции[[#This Row],[deliveryPost]],SUM(N244:P244))</f>
        <v>462</v>
      </c>
      <c r="R244" s="41">
        <v>462</v>
      </c>
      <c r="S244" s="46">
        <f>ТабПозиции[[#This Row],[totalSumm]]-ТабПозиции[[#This Row],[payment]]</f>
        <v>0</v>
      </c>
      <c r="T244" s="18" t="s">
        <v>563</v>
      </c>
      <c r="U244" s="40" t="s">
        <v>545</v>
      </c>
      <c r="V244" s="40" t="s">
        <v>545</v>
      </c>
      <c r="W244" s="40" t="s">
        <v>545</v>
      </c>
      <c r="X244" s="3"/>
      <c r="Y244"/>
    </row>
    <row r="245" spans="1:25" hidden="1" x14ac:dyDescent="0.25">
      <c r="A245" s="10">
        <v>75</v>
      </c>
      <c r="B245" s="1">
        <f>IFERROR(VLOOKUP(ТабПозиции[[#This Row],[orderNum]],ТабЗаказы[#Data],MATCH(B$7,ТабЗаказы[#Headers],0),0),"")</f>
        <v>45405</v>
      </c>
      <c r="C245" t="str">
        <f>MONTH(ТабПозиции[[#This Row],[date]])&amp;"/"&amp;YEAR(ТабПозиции[[#This Row],[date]])</f>
        <v>4/2024</v>
      </c>
      <c r="D245" s="1" t="str">
        <f>IFERROR(VLOOKUP(ТабПозиции[[#This Row],[orderNum]],ТабЗаказы[#Data],MATCH(D$7,ТабЗаказы[#Headers],0),0),"")</f>
        <v/>
      </c>
      <c r="E245" s="1" t="str">
        <f>IFERROR(VLOOKUP(ТабПозиции[[#This Row],[orderNum]],ТабЗаказы[#Data],MATCH(E$7,ТабЗаказы[#Headers],0),0),"")</f>
        <v/>
      </c>
      <c r="F245" s="10" t="s">
        <v>769</v>
      </c>
      <c r="G245" s="40" t="s">
        <v>545</v>
      </c>
      <c r="I245" s="18">
        <v>45405</v>
      </c>
      <c r="J245" s="10">
        <v>1</v>
      </c>
      <c r="K245" s="10">
        <v>549</v>
      </c>
      <c r="L245">
        <v>549</v>
      </c>
      <c r="M245" s="10">
        <v>549</v>
      </c>
      <c r="N245">
        <f t="shared" si="3"/>
        <v>549</v>
      </c>
      <c r="P2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Row],[orderNum]],ТабПозиции[orderSumm])&gt;1500),ABS(N245*VLOOKUP(ТабПозиции[[#This Row],[orderNum]],ТабЗаказы[#Data],MATCH("Percent",ТабЗаказы[#Headers],0),0))/100,200/COUNTIF(ТабПозиции[orderNum],ТабПозиции[[#This Row],[orderNum]])),0),"")</f>
        <v>82</v>
      </c>
      <c r="Q245">
        <f>IF(OR(ТабПозиции[[#This Row],[item]]="По штрихкоду",ТабПозиции[[#This Row],[item]]="Посылка"),ТабПозиции[[#This Row],[deliverySumm]]+ТабПозиции[[#This Row],[deliveryPost]],SUM(N245:P245))</f>
        <v>631</v>
      </c>
      <c r="R245" s="41">
        <v>631</v>
      </c>
      <c r="S245" s="46">
        <f>ТабПозиции[[#This Row],[totalSumm]]-ТабПозиции[[#This Row],[payment]]</f>
        <v>0</v>
      </c>
      <c r="T245" s="18" t="s">
        <v>563</v>
      </c>
      <c r="U245" s="40" t="s">
        <v>545</v>
      </c>
      <c r="V245" s="40" t="s">
        <v>545</v>
      </c>
      <c r="W245" s="40" t="s">
        <v>545</v>
      </c>
      <c r="X245" s="3"/>
      <c r="Y245"/>
    </row>
    <row r="246" spans="1:25" hidden="1" x14ac:dyDescent="0.25">
      <c r="A246" s="10">
        <v>75</v>
      </c>
      <c r="B246" s="1">
        <f>IFERROR(VLOOKUP(ТабПозиции[[#This Row],[orderNum]],ТабЗаказы[#Data],MATCH(B$7,ТабЗаказы[#Headers],0),0),"")</f>
        <v>45405</v>
      </c>
      <c r="C246" t="str">
        <f>MONTH(ТабПозиции[[#This Row],[date]])&amp;"/"&amp;YEAR(ТабПозиции[[#This Row],[date]])</f>
        <v>4/2024</v>
      </c>
      <c r="D246" s="1" t="str">
        <f>IFERROR(VLOOKUP(ТабПозиции[[#This Row],[orderNum]],ТабЗаказы[#Data],MATCH(D$7,ТабЗаказы[#Headers],0),0),"")</f>
        <v/>
      </c>
      <c r="E246" s="1" t="str">
        <f>IFERROR(VLOOKUP(ТабПозиции[[#This Row],[orderNum]],ТабЗаказы[#Data],MATCH(E$7,ТабЗаказы[#Headers],0),0),"")</f>
        <v/>
      </c>
      <c r="F246" s="10" t="s">
        <v>770</v>
      </c>
      <c r="G246" s="40" t="s">
        <v>545</v>
      </c>
      <c r="I246" s="18">
        <v>45405</v>
      </c>
      <c r="J246" s="10">
        <v>1</v>
      </c>
      <c r="K246" s="10">
        <v>139</v>
      </c>
      <c r="L246">
        <v>139</v>
      </c>
      <c r="M246" s="10">
        <v>139</v>
      </c>
      <c r="N246">
        <f t="shared" si="3"/>
        <v>139</v>
      </c>
      <c r="P2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Row],[orderNum]],ТабПозиции[orderSumm])&gt;1500),ABS(N246*VLOOKUP(ТабПозиции[[#This Row],[orderNum]],ТабЗаказы[#Data],MATCH("Percent",ТабЗаказы[#Headers],0),0))/100,200/COUNTIF(ТабПозиции[orderNum],ТабПозиции[[#This Row],[orderNum]])),0),"")</f>
        <v>21</v>
      </c>
      <c r="Q246">
        <f>IF(OR(ТабПозиции[[#This Row],[item]]="По штрихкоду",ТабПозиции[[#This Row],[item]]="Посылка"),ТабПозиции[[#This Row],[deliverySumm]]+ТабПозиции[[#This Row],[deliveryPost]],SUM(N246:P246))</f>
        <v>160</v>
      </c>
      <c r="R246" s="41">
        <v>160</v>
      </c>
      <c r="S246" s="46">
        <f>ТабПозиции[[#This Row],[totalSumm]]-ТабПозиции[[#This Row],[payment]]</f>
        <v>0</v>
      </c>
      <c r="T246" s="18" t="s">
        <v>563</v>
      </c>
      <c r="U246" s="40" t="s">
        <v>545</v>
      </c>
      <c r="V246" s="40" t="s">
        <v>545</v>
      </c>
      <c r="W246" s="40" t="s">
        <v>545</v>
      </c>
      <c r="X246" s="3"/>
      <c r="Y246"/>
    </row>
    <row r="247" spans="1:25" hidden="1" x14ac:dyDescent="0.25">
      <c r="A247" s="10">
        <v>75</v>
      </c>
      <c r="B247" s="1">
        <f>IFERROR(VLOOKUP(ТабПозиции[[#This Row],[orderNum]],ТабЗаказы[#Data],MATCH(B$7,ТабЗаказы[#Headers],0),0),"")</f>
        <v>45405</v>
      </c>
      <c r="C247" t="str">
        <f>MONTH(ТабПозиции[[#This Row],[date]])&amp;"/"&amp;YEAR(ТабПозиции[[#This Row],[date]])</f>
        <v>4/2024</v>
      </c>
      <c r="D247" s="1" t="str">
        <f>IFERROR(VLOOKUP(ТабПозиции[[#This Row],[orderNum]],ТабЗаказы[#Data],MATCH(D$7,ТабЗаказы[#Headers],0),0),"")</f>
        <v/>
      </c>
      <c r="E247" s="1" t="str">
        <f>IFERROR(VLOOKUP(ТабПозиции[[#This Row],[orderNum]],ТабЗаказы[#Data],MATCH(E$7,ТабЗаказы[#Headers],0),0),"")</f>
        <v/>
      </c>
      <c r="F247" s="10" t="s">
        <v>771</v>
      </c>
      <c r="G247" s="40" t="s">
        <v>545</v>
      </c>
      <c r="I247" s="18">
        <v>45405</v>
      </c>
      <c r="J247" s="10">
        <v>1</v>
      </c>
      <c r="K247" s="10">
        <v>163</v>
      </c>
      <c r="L247">
        <v>163</v>
      </c>
      <c r="M247" s="10">
        <v>163</v>
      </c>
      <c r="N247">
        <f t="shared" si="3"/>
        <v>163</v>
      </c>
      <c r="P2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Row],[orderNum]],ТабПозиции[orderSumm])&gt;1500),ABS(N247*VLOOKUP(ТабПозиции[[#This Row],[orderNum]],ТабЗаказы[#Data],MATCH("Percent",ТабЗаказы[#Headers],0),0))/100,200/COUNTIF(ТабПозиции[orderNum],ТабПозиции[[#This Row],[orderNum]])),0),"")</f>
        <v>24</v>
      </c>
      <c r="Q247">
        <f>IF(OR(ТабПозиции[[#This Row],[item]]="По штрихкоду",ТабПозиции[[#This Row],[item]]="Посылка"),ТабПозиции[[#This Row],[deliverySumm]]+ТабПозиции[[#This Row],[deliveryPost]],SUM(N247:P247))</f>
        <v>187</v>
      </c>
      <c r="R247" s="41">
        <v>187</v>
      </c>
      <c r="S247" s="46">
        <f>ТабПозиции[[#This Row],[totalSumm]]-ТабПозиции[[#This Row],[payment]]</f>
        <v>0</v>
      </c>
      <c r="T247" s="18" t="s">
        <v>563</v>
      </c>
      <c r="U247" s="40" t="s">
        <v>545</v>
      </c>
      <c r="V247" s="40" t="s">
        <v>545</v>
      </c>
      <c r="W247" s="40" t="s">
        <v>545</v>
      </c>
      <c r="X247" s="3"/>
      <c r="Y247"/>
    </row>
    <row r="248" spans="1:25" hidden="1" x14ac:dyDescent="0.25">
      <c r="A248" s="10">
        <v>75</v>
      </c>
      <c r="B248" s="1">
        <f>IFERROR(VLOOKUP(ТабПозиции[[#This Row],[orderNum]],ТабЗаказы[#Data],MATCH(B$7,ТабЗаказы[#Headers],0),0),"")</f>
        <v>45405</v>
      </c>
      <c r="C248" t="str">
        <f>MONTH(ТабПозиции[[#This Row],[date]])&amp;"/"&amp;YEAR(ТабПозиции[[#This Row],[date]])</f>
        <v>4/2024</v>
      </c>
      <c r="D248" s="1" t="str">
        <f>IFERROR(VLOOKUP(ТабПозиции[[#This Row],[orderNum]],ТабЗаказы[#Data],MATCH(D$7,ТабЗаказы[#Headers],0),0),"")</f>
        <v/>
      </c>
      <c r="E248" s="1" t="str">
        <f>IFERROR(VLOOKUP(ТабПозиции[[#This Row],[orderNum]],ТабЗаказы[#Data],MATCH(E$7,ТабЗаказы[#Headers],0),0),"")</f>
        <v/>
      </c>
      <c r="F248" s="10" t="s">
        <v>737</v>
      </c>
      <c r="G248" s="40" t="s">
        <v>545</v>
      </c>
      <c r="I248" s="18">
        <v>45405</v>
      </c>
      <c r="J248" s="10">
        <v>1</v>
      </c>
      <c r="K248" s="10">
        <v>1330</v>
      </c>
      <c r="L248">
        <v>1330</v>
      </c>
      <c r="M248" s="10">
        <v>1330</v>
      </c>
      <c r="N248">
        <f t="shared" si="3"/>
        <v>1330</v>
      </c>
      <c r="P2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Row],[orderNum]],ТабПозиции[orderSumm])&gt;1500),ABS(N248*VLOOKUP(ТабПозиции[[#This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248">
        <f>IF(OR(ТабПозиции[[#This Row],[item]]="По штрихкоду",ТабПозиции[[#This Row],[item]]="Посылка"),ТабПозиции[[#This Row],[deliverySumm]]+ТабПозиции[[#This Row],[deliveryPost]],SUM(N248:P248))</f>
        <v>1530</v>
      </c>
      <c r="R248" s="41">
        <v>1530</v>
      </c>
      <c r="S248" s="46">
        <f>ТабПозиции[[#This Row],[totalSumm]]-ТабПозиции[[#This Row],[payment]]</f>
        <v>0</v>
      </c>
      <c r="T248" s="18" t="s">
        <v>563</v>
      </c>
      <c r="U248" s="40" t="s">
        <v>545</v>
      </c>
      <c r="V248" s="40" t="s">
        <v>545</v>
      </c>
      <c r="W248" s="40" t="s">
        <v>545</v>
      </c>
      <c r="X248" s="3"/>
      <c r="Y248"/>
    </row>
    <row r="249" spans="1:25" hidden="1" x14ac:dyDescent="0.25">
      <c r="A249" s="10">
        <v>75</v>
      </c>
      <c r="B249" s="1">
        <f>IFERROR(VLOOKUP(ТабПозиции[[#This Row],[orderNum]],ТабЗаказы[#Data],MATCH(B$7,ТабЗаказы[#Headers],0),0),"")</f>
        <v>45405</v>
      </c>
      <c r="C249" t="str">
        <f>MONTH(ТабПозиции[[#This Row],[date]])&amp;"/"&amp;YEAR(ТабПозиции[[#This Row],[date]])</f>
        <v>4/2024</v>
      </c>
      <c r="D249" s="1" t="str">
        <f>IFERROR(VLOOKUP(ТабПозиции[[#This Row],[orderNum]],ТабЗаказы[#Data],MATCH(D$7,ТабЗаказы[#Headers],0),0),"")</f>
        <v/>
      </c>
      <c r="E249" s="1" t="str">
        <f>IFERROR(VLOOKUP(ТабПозиции[[#This Row],[orderNum]],ТабЗаказы[#Data],MATCH(E$7,ТабЗаказы[#Headers],0),0),"")</f>
        <v/>
      </c>
      <c r="F249" s="10" t="s">
        <v>772</v>
      </c>
      <c r="G249" s="40" t="s">
        <v>545</v>
      </c>
      <c r="I249" s="18">
        <v>45405</v>
      </c>
      <c r="J249" s="10">
        <v>1</v>
      </c>
      <c r="K249" s="10">
        <v>232</v>
      </c>
      <c r="L249">
        <v>232</v>
      </c>
      <c r="M249" s="10">
        <v>232</v>
      </c>
      <c r="N249">
        <f t="shared" si="3"/>
        <v>232</v>
      </c>
      <c r="P2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Row],[orderNum]],ТабПозиции[orderSumm])&gt;1500),ABS(N249*VLOOKUP(ТабПозиции[[#This Row],[orderNum]],ТабЗаказы[#Data],MATCH("Percent",ТабЗаказы[#Headers],0),0))/100,200/COUNTIF(ТабПозиции[orderNum],ТабПозиции[[#This Row],[orderNum]])),0),"")</f>
        <v>35</v>
      </c>
      <c r="Q249">
        <f>IF(OR(ТабПозиции[[#This Row],[item]]="По штрихкоду",ТабПозиции[[#This Row],[item]]="Посылка"),ТабПозиции[[#This Row],[deliverySumm]]+ТабПозиции[[#This Row],[deliveryPost]],SUM(N249:P249))</f>
        <v>267</v>
      </c>
      <c r="R249" s="41">
        <v>267</v>
      </c>
      <c r="S249" s="46">
        <f>ТабПозиции[[#This Row],[totalSumm]]-ТабПозиции[[#This Row],[payment]]</f>
        <v>0</v>
      </c>
      <c r="T249" s="18" t="s">
        <v>563</v>
      </c>
      <c r="U249" s="40" t="s">
        <v>545</v>
      </c>
      <c r="V249" s="40" t="s">
        <v>545</v>
      </c>
      <c r="W249" s="40" t="s">
        <v>545</v>
      </c>
      <c r="X249" s="3"/>
      <c r="Y249"/>
    </row>
    <row r="250" spans="1:25" hidden="1" x14ac:dyDescent="0.25">
      <c r="A250" s="10">
        <v>75</v>
      </c>
      <c r="B250" s="1">
        <f>IFERROR(VLOOKUP(ТабПозиции[[#This Row],[orderNum]],ТабЗаказы[#Data],MATCH(B$7,ТабЗаказы[#Headers],0),0),"")</f>
        <v>45405</v>
      </c>
      <c r="C250" t="str">
        <f>MONTH(ТабПозиции[[#This Row],[date]])&amp;"/"&amp;YEAR(ТабПозиции[[#This Row],[date]])</f>
        <v>4/2024</v>
      </c>
      <c r="D250" s="1" t="str">
        <f>IFERROR(VLOOKUP(ТабПозиции[[#This Row],[orderNum]],ТабЗаказы[#Data],MATCH(D$7,ТабЗаказы[#Headers],0),0),"")</f>
        <v/>
      </c>
      <c r="E250" s="1" t="str">
        <f>IFERROR(VLOOKUP(ТабПозиции[[#This Row],[orderNum]],ТабЗаказы[#Data],MATCH(E$7,ТабЗаказы[#Headers],0),0),"")</f>
        <v/>
      </c>
      <c r="F250" s="10" t="s">
        <v>773</v>
      </c>
      <c r="G250" s="40" t="s">
        <v>545</v>
      </c>
      <c r="I250" s="18">
        <v>45405</v>
      </c>
      <c r="J250" s="10">
        <v>1</v>
      </c>
      <c r="K250" s="10">
        <v>235</v>
      </c>
      <c r="L250">
        <v>235</v>
      </c>
      <c r="M250" s="10">
        <v>235</v>
      </c>
      <c r="N250">
        <f t="shared" si="3"/>
        <v>235</v>
      </c>
      <c r="P2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Row],[orderNum]],ТабПозиции[orderSumm])&gt;1500),ABS(N250*VLOOKUP(ТабПозиции[[#This Row],[orderNum]],ТабЗаказы[#Data],MATCH("Percent",ТабЗаказы[#Headers],0),0))/100,200/COUNTIF(ТабПозиции[orderNum],ТабПозиции[[#This Row],[orderNum]])),0),"")</f>
        <v>35</v>
      </c>
      <c r="Q250">
        <f>IF(OR(ТабПозиции[[#This Row],[item]]="По штрихкоду",ТабПозиции[[#This Row],[item]]="Посылка"),ТабПозиции[[#This Row],[deliverySumm]]+ТабПозиции[[#This Row],[deliveryPost]],SUM(N250:P250))</f>
        <v>270</v>
      </c>
      <c r="R250" s="41">
        <v>270</v>
      </c>
      <c r="S250" s="46">
        <f>ТабПозиции[[#This Row],[totalSumm]]-ТабПозиции[[#This Row],[payment]]</f>
        <v>0</v>
      </c>
      <c r="T250" s="18" t="s">
        <v>563</v>
      </c>
      <c r="U250" s="40" t="s">
        <v>545</v>
      </c>
      <c r="V250" s="40" t="s">
        <v>545</v>
      </c>
      <c r="W250" s="40" t="s">
        <v>545</v>
      </c>
      <c r="X250" s="3"/>
      <c r="Y250"/>
    </row>
    <row r="251" spans="1:25" hidden="1" x14ac:dyDescent="0.25">
      <c r="A251" s="10">
        <v>75</v>
      </c>
      <c r="B251" s="1">
        <f>IFERROR(VLOOKUP(ТабПозиции[[#This Row],[orderNum]],ТабЗаказы[#Data],MATCH(B$7,ТабЗаказы[#Headers],0),0),"")</f>
        <v>45405</v>
      </c>
      <c r="C251" t="str">
        <f>MONTH(ТабПозиции[[#This Row],[date]])&amp;"/"&amp;YEAR(ТабПозиции[[#This Row],[date]])</f>
        <v>4/2024</v>
      </c>
      <c r="D251" s="1" t="str">
        <f>IFERROR(VLOOKUP(ТабПозиции[[#This Row],[orderNum]],ТабЗаказы[#Data],MATCH(D$7,ТабЗаказы[#Headers],0),0),"")</f>
        <v/>
      </c>
      <c r="E251" s="1" t="str">
        <f>IFERROR(VLOOKUP(ТабПозиции[[#This Row],[orderNum]],ТабЗаказы[#Data],MATCH(E$7,ТабЗаказы[#Headers],0),0),"")</f>
        <v/>
      </c>
      <c r="F251" s="10" t="s">
        <v>774</v>
      </c>
      <c r="G251" s="40" t="s">
        <v>545</v>
      </c>
      <c r="I251" s="18">
        <v>45405</v>
      </c>
      <c r="J251" s="10">
        <v>1</v>
      </c>
      <c r="K251" s="10">
        <v>189</v>
      </c>
      <c r="L251">
        <v>189</v>
      </c>
      <c r="M251" s="10">
        <v>189</v>
      </c>
      <c r="N251">
        <f t="shared" si="3"/>
        <v>189</v>
      </c>
      <c r="P2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Row],[orderNum]],ТабПозиции[orderSumm])&gt;1500),ABS(N251*VLOOKUP(ТабПозиции[[#This Row],[orderNum]],ТабЗаказы[#Data],MATCH("Percent",ТабЗаказы[#Headers],0),0))/100,200/COUNTIF(ТабПозиции[orderNum],ТабПозиции[[#This Row],[orderNum]])),0),"")</f>
        <v>28</v>
      </c>
      <c r="Q251">
        <f>IF(OR(ТабПозиции[[#This Row],[item]]="По штрихкоду",ТабПозиции[[#This Row],[item]]="Посылка"),ТабПозиции[[#This Row],[deliverySumm]]+ТабПозиции[[#This Row],[deliveryPost]],SUM(N251:P251))</f>
        <v>217</v>
      </c>
      <c r="R251" s="41">
        <v>217</v>
      </c>
      <c r="S251" s="46">
        <f>ТабПозиции[[#This Row],[totalSumm]]-ТабПозиции[[#This Row],[payment]]</f>
        <v>0</v>
      </c>
      <c r="T251" s="18" t="s">
        <v>563</v>
      </c>
      <c r="U251" s="40" t="s">
        <v>545</v>
      </c>
      <c r="V251" s="40" t="s">
        <v>545</v>
      </c>
      <c r="W251" s="40" t="s">
        <v>545</v>
      </c>
      <c r="X251" s="3"/>
      <c r="Y251"/>
    </row>
    <row r="252" spans="1:25" hidden="1" x14ac:dyDescent="0.25">
      <c r="A252" s="10">
        <v>75</v>
      </c>
      <c r="B252" s="1">
        <f>IFERROR(VLOOKUP(ТабПозиции[[#This Row],[orderNum]],ТабЗаказы[#Data],MATCH(B$7,ТабЗаказы[#Headers],0),0),"")</f>
        <v>45405</v>
      </c>
      <c r="C252" t="str">
        <f>MONTH(ТабПозиции[[#This Row],[date]])&amp;"/"&amp;YEAR(ТабПозиции[[#This Row],[date]])</f>
        <v>4/2024</v>
      </c>
      <c r="D252" s="1" t="str">
        <f>IFERROR(VLOOKUP(ТабПозиции[[#This Row],[orderNum]],ТабЗаказы[#Data],MATCH(D$7,ТабЗаказы[#Headers],0),0),"")</f>
        <v/>
      </c>
      <c r="E252" s="1" t="str">
        <f>IFERROR(VLOOKUP(ТабПозиции[[#This Row],[orderNum]],ТабЗаказы[#Data],MATCH(E$7,ТабЗаказы[#Headers],0),0),"")</f>
        <v/>
      </c>
      <c r="F252" s="10" t="s">
        <v>775</v>
      </c>
      <c r="G252" s="40" t="s">
        <v>545</v>
      </c>
      <c r="I252" s="18">
        <v>45405</v>
      </c>
      <c r="J252" s="10">
        <v>1</v>
      </c>
      <c r="K252" s="10">
        <v>126</v>
      </c>
      <c r="L252">
        <v>126</v>
      </c>
      <c r="M252" s="10">
        <v>126</v>
      </c>
      <c r="N252">
        <f t="shared" si="3"/>
        <v>126</v>
      </c>
      <c r="P2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Row],[orderNum]],ТабПозиции[orderSumm])&gt;1500),ABS(N252*VLOOKUP(ТабПозиции[[#This Row],[orderNum]],ТабЗаказы[#Data],MATCH("Percent",ТабЗаказы[#Headers],0),0))/100,200/COUNTIF(ТабПозиции[orderNum],ТабПозиции[[#This Row],[orderNum]])),0),"")</f>
        <v>19</v>
      </c>
      <c r="Q252">
        <f>IF(OR(ТабПозиции[[#This Row],[item]]="По штрихкоду",ТабПозиции[[#This Row],[item]]="Посылка"),ТабПозиции[[#This Row],[deliverySumm]]+ТабПозиции[[#This Row],[deliveryPost]],SUM(N252:P252))</f>
        <v>145</v>
      </c>
      <c r="R252" s="41">
        <v>145</v>
      </c>
      <c r="S252" s="46">
        <f>ТабПозиции[[#This Row],[totalSumm]]-ТабПозиции[[#This Row],[payment]]</f>
        <v>0</v>
      </c>
      <c r="T252" s="18" t="s">
        <v>563</v>
      </c>
      <c r="U252" s="40" t="s">
        <v>545</v>
      </c>
      <c r="V252" s="40" t="s">
        <v>545</v>
      </c>
      <c r="W252" s="40" t="s">
        <v>545</v>
      </c>
      <c r="X252" s="3"/>
      <c r="Y252"/>
    </row>
    <row r="253" spans="1:25" hidden="1" x14ac:dyDescent="0.25">
      <c r="A253" s="10">
        <v>75</v>
      </c>
      <c r="B253" s="1">
        <f>IFERROR(VLOOKUP(ТабПозиции[[#This Row],[orderNum]],ТабЗаказы[#Data],MATCH(B$7,ТабЗаказы[#Headers],0),0),"")</f>
        <v>45405</v>
      </c>
      <c r="C253" t="str">
        <f>MONTH(ТабПозиции[[#This Row],[date]])&amp;"/"&amp;YEAR(ТабПозиции[[#This Row],[date]])</f>
        <v>4/2024</v>
      </c>
      <c r="D253" s="1" t="str">
        <f>IFERROR(VLOOKUP(ТабПозиции[[#This Row],[orderNum]],ТабЗаказы[#Data],MATCH(D$7,ТабЗаказы[#Headers],0),0),"")</f>
        <v/>
      </c>
      <c r="E253" s="1" t="str">
        <f>IFERROR(VLOOKUP(ТабПозиции[[#This Row],[orderNum]],ТабЗаказы[#Data],MATCH(E$7,ТабЗаказы[#Headers],0),0),"")</f>
        <v/>
      </c>
      <c r="F253" s="10" t="s">
        <v>776</v>
      </c>
      <c r="G253" s="40" t="s">
        <v>545</v>
      </c>
      <c r="I253" s="18">
        <v>45407</v>
      </c>
      <c r="J253" s="10">
        <v>1</v>
      </c>
      <c r="K253" s="10">
        <v>388</v>
      </c>
      <c r="L253">
        <v>388</v>
      </c>
      <c r="M253" s="10">
        <v>388</v>
      </c>
      <c r="N253">
        <f t="shared" si="3"/>
        <v>388</v>
      </c>
      <c r="P2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Row],[orderNum]],ТабПозиции[orderSumm])&gt;1500),ABS(N253*VLOOKUP(ТабПозиции[[#This Row],[orderNum]],ТабЗаказы[#Data],MATCH("Percent",ТабЗаказы[#Headers],0),0))/100,200/COUNTIF(ТабПозиции[orderNum],ТабПозиции[[#This Row],[orderNum]])),0),"")</f>
        <v>58</v>
      </c>
      <c r="Q253">
        <f>IF(OR(ТабПозиции[[#This Row],[item]]="По штрихкоду",ТабПозиции[[#This Row],[item]]="Посылка"),ТабПозиции[[#This Row],[deliverySumm]]+ТабПозиции[[#This Row],[deliveryPost]],SUM(N253:P253))</f>
        <v>446</v>
      </c>
      <c r="R253" s="41">
        <v>446</v>
      </c>
      <c r="S253" s="46">
        <f>ТабПозиции[[#This Row],[totalSumm]]-ТабПозиции[[#This Row],[payment]]</f>
        <v>0</v>
      </c>
      <c r="T253" s="18" t="s">
        <v>563</v>
      </c>
      <c r="U253" s="40" t="s">
        <v>545</v>
      </c>
      <c r="V253" s="40" t="s">
        <v>545</v>
      </c>
      <c r="W253" s="40" t="s">
        <v>545</v>
      </c>
      <c r="X253" s="3"/>
      <c r="Y253"/>
    </row>
    <row r="254" spans="1:25" hidden="1" x14ac:dyDescent="0.25">
      <c r="A254" s="10">
        <v>78</v>
      </c>
      <c r="B254" s="1">
        <f>IFERROR(VLOOKUP(ТабПозиции[[#This Row],[orderNum]],ТабЗаказы[#Data],MATCH(B$7,ТабЗаказы[#Headers],0),0),"")</f>
        <v>45409</v>
      </c>
      <c r="C254" t="str">
        <f>MONTH(ТабПозиции[[#This Row],[date]])&amp;"/"&amp;YEAR(ТабПозиции[[#This Row],[date]])</f>
        <v>4/2024</v>
      </c>
      <c r="D254" s="1" t="str">
        <f>IFERROR(VLOOKUP(ТабПозиции[[#This Row],[orderNum]],ТабЗаказы[#Data],MATCH(D$7,ТабЗаказы[#Headers],0),0),"")</f>
        <v/>
      </c>
      <c r="E254" s="1" t="str">
        <f>IFERROR(VLOOKUP(ТабПозиции[[#This Row],[orderNum]],ТабЗаказы[#Data],MATCH(E$7,ТабЗаказы[#Headers],0),0),"")</f>
        <v/>
      </c>
      <c r="F254" s="16" t="s">
        <v>777</v>
      </c>
      <c r="G254" s="40" t="s">
        <v>545</v>
      </c>
      <c r="I254" s="18">
        <v>45411</v>
      </c>
      <c r="J254" s="10">
        <v>1</v>
      </c>
      <c r="K254" s="10">
        <v>243</v>
      </c>
      <c r="L254">
        <v>243</v>
      </c>
      <c r="M254" s="10">
        <v>248</v>
      </c>
      <c r="N254">
        <f t="shared" si="3"/>
        <v>248</v>
      </c>
      <c r="P2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Row],[orderNum]],ТабПозиции[orderSumm])&gt;1500),ABS(N254*VLOOKUP(ТабПозиции[[#This Row],[orderNum]],ТабЗаказы[#Data],MATCH("Percent",ТабЗаказы[#Headers],0),0))/100,200/COUNTIF(ТабПозиции[orderNum],ТабПозиции[[#This Row],[orderNum]])),0),"")</f>
        <v>37</v>
      </c>
      <c r="Q254">
        <f>IF(OR(ТабПозиции[[#This Row],[item]]="По штрихкоду",ТабПозиции[[#This Row],[item]]="Посылка"),ТабПозиции[[#This Row],[deliverySumm]]+ТабПозиции[[#This Row],[deliveryPost]],SUM(N254:P254))</f>
        <v>285</v>
      </c>
      <c r="R254" s="41">
        <v>285</v>
      </c>
      <c r="S254" s="46">
        <f>ТабПозиции[[#This Row],[totalSumm]]-ТабПозиции[[#This Row],[payment]]</f>
        <v>0</v>
      </c>
      <c r="T254" s="18" t="s">
        <v>580</v>
      </c>
      <c r="U254" s="40" t="s">
        <v>545</v>
      </c>
      <c r="V254" s="40" t="s">
        <v>545</v>
      </c>
      <c r="W254" s="40" t="s">
        <v>545</v>
      </c>
      <c r="X254" s="3"/>
      <c r="Y254"/>
    </row>
    <row r="255" spans="1:25" hidden="1" x14ac:dyDescent="0.25">
      <c r="A255" s="10">
        <v>78</v>
      </c>
      <c r="B255" s="1">
        <f>IFERROR(VLOOKUP(ТабПозиции[[#This Row],[orderNum]],ТабЗаказы[#Data],MATCH(B$7,ТабЗаказы[#Headers],0),0),"")</f>
        <v>45409</v>
      </c>
      <c r="C255" t="str">
        <f>MONTH(ТабПозиции[[#This Row],[date]])&amp;"/"&amp;YEAR(ТабПозиции[[#This Row],[date]])</f>
        <v>4/2024</v>
      </c>
      <c r="D255" s="1" t="str">
        <f>IFERROR(VLOOKUP(ТабПозиции[[#This Row],[orderNum]],ТабЗаказы[#Data],MATCH(D$7,ТабЗаказы[#Headers],0),0),"")</f>
        <v/>
      </c>
      <c r="E255" s="1" t="str">
        <f>IFERROR(VLOOKUP(ТабПозиции[[#This Row],[orderNum]],ТабЗаказы[#Data],MATCH(E$7,ТабЗаказы[#Headers],0),0),"")</f>
        <v/>
      </c>
      <c r="F255" s="16" t="s">
        <v>778</v>
      </c>
      <c r="G255" s="40" t="s">
        <v>545</v>
      </c>
      <c r="I255" s="18">
        <v>45411</v>
      </c>
      <c r="J255" s="10">
        <v>1</v>
      </c>
      <c r="K255" s="10">
        <v>307</v>
      </c>
      <c r="L255">
        <v>307</v>
      </c>
      <c r="M255" s="10">
        <v>313</v>
      </c>
      <c r="N255">
        <f t="shared" si="3"/>
        <v>313</v>
      </c>
      <c r="P2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Row],[orderNum]],ТабПозиции[orderSumm])&gt;1500),ABS(N255*VLOOKUP(ТабПозиции[[#This Row],[orderNum]],ТабЗаказы[#Data],MATCH("Percent",ТабЗаказы[#Headers],0),0))/100,200/COUNTIF(ТабПозиции[orderNum],ТабПозиции[[#This Row],[orderNum]])),0),"")</f>
        <v>47</v>
      </c>
      <c r="Q255">
        <f>IF(OR(ТабПозиции[[#This Row],[item]]="По штрихкоду",ТабПозиции[[#This Row],[item]]="Посылка"),ТабПозиции[[#This Row],[deliverySumm]]+ТабПозиции[[#This Row],[deliveryPost]],SUM(N255:P255))</f>
        <v>360</v>
      </c>
      <c r="R255" s="41">
        <v>360</v>
      </c>
      <c r="S255" s="46">
        <f>ТабПозиции[[#This Row],[totalSumm]]-ТабПозиции[[#This Row],[payment]]</f>
        <v>0</v>
      </c>
      <c r="T255" s="18" t="s">
        <v>580</v>
      </c>
      <c r="U255" s="40" t="s">
        <v>545</v>
      </c>
      <c r="V255" s="40" t="s">
        <v>545</v>
      </c>
      <c r="W255" s="40" t="s">
        <v>545</v>
      </c>
      <c r="X255" s="3"/>
      <c r="Y255"/>
    </row>
    <row r="256" spans="1:25" hidden="1" x14ac:dyDescent="0.25">
      <c r="A256" s="10">
        <v>78</v>
      </c>
      <c r="B256" s="1">
        <f>IFERROR(VLOOKUP(ТабПозиции[[#This Row],[orderNum]],ТабЗаказы[#Data],MATCH(B$7,ТабЗаказы[#Headers],0),0),"")</f>
        <v>45409</v>
      </c>
      <c r="C256" t="str">
        <f>MONTH(ТабПозиции[[#This Row],[date]])&amp;"/"&amp;YEAR(ТабПозиции[[#This Row],[date]])</f>
        <v>4/2024</v>
      </c>
      <c r="D256" s="1" t="str">
        <f>IFERROR(VLOOKUP(ТабПозиции[[#This Row],[orderNum]],ТабЗаказы[#Data],MATCH(D$7,ТабЗаказы[#Headers],0),0),"")</f>
        <v/>
      </c>
      <c r="E256" s="1" t="str">
        <f>IFERROR(VLOOKUP(ТабПозиции[[#This Row],[orderNum]],ТабЗаказы[#Data],MATCH(E$7,ТабЗаказы[#Headers],0),0),"")</f>
        <v/>
      </c>
      <c r="F256" s="16" t="s">
        <v>579</v>
      </c>
      <c r="G256" s="40" t="s">
        <v>545</v>
      </c>
      <c r="I256" s="18">
        <v>45410</v>
      </c>
      <c r="J256" s="10">
        <v>1</v>
      </c>
      <c r="K256" s="10">
        <v>507</v>
      </c>
      <c r="L256">
        <v>507</v>
      </c>
      <c r="M256" s="10">
        <v>549</v>
      </c>
      <c r="N256">
        <f t="shared" si="3"/>
        <v>549</v>
      </c>
      <c r="P2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Row],[orderNum]],ТабПозиции[orderSumm])&gt;1500),ABS(N256*VLOOKUP(ТабПозиции[[#This Row],[orderNum]],ТабЗаказы[#Data],MATCH("Percent",ТабЗаказы[#Headers],0),0))/100,200/COUNTIF(ТабПозиции[orderNum],ТабПозиции[[#This Row],[orderNum]])),0),"")</f>
        <v>82</v>
      </c>
      <c r="Q256">
        <f>IF(OR(ТабПозиции[[#This Row],[item]]="По штрихкоду",ТабПозиции[[#This Row],[item]]="Посылка"),ТабПозиции[[#This Row],[deliverySumm]]+ТабПозиции[[#This Row],[deliveryPost]],SUM(N256:P256))</f>
        <v>631</v>
      </c>
      <c r="R256" s="41">
        <v>631</v>
      </c>
      <c r="S256" s="46">
        <f>ТабПозиции[[#This Row],[totalSumm]]-ТабПозиции[[#This Row],[payment]]</f>
        <v>0</v>
      </c>
      <c r="T256" s="18" t="s">
        <v>580</v>
      </c>
      <c r="U256" s="40" t="s">
        <v>545</v>
      </c>
      <c r="V256" s="40" t="s">
        <v>545</v>
      </c>
      <c r="W256" s="40" t="s">
        <v>545</v>
      </c>
      <c r="X256" s="3"/>
      <c r="Y256"/>
    </row>
    <row r="257" spans="1:25" hidden="1" x14ac:dyDescent="0.25">
      <c r="A257" s="10">
        <v>76</v>
      </c>
      <c r="B257" s="1">
        <f>IFERROR(VLOOKUP(ТабПозиции[[#This Row],[orderNum]],ТабЗаказы[#Data],MATCH(B$7,ТабЗаказы[#Headers],0),0),"")</f>
        <v>45408</v>
      </c>
      <c r="C257" t="str">
        <f>MONTH(ТабПозиции[[#This Row],[date]])&amp;"/"&amp;YEAR(ТабПозиции[[#This Row],[date]])</f>
        <v>4/2024</v>
      </c>
      <c r="D257" s="1" t="str">
        <f>IFERROR(VLOOKUP(ТабПозиции[[#This Row],[orderNum]],ТабЗаказы[#Data],MATCH(D$7,ТабЗаказы[#Headers],0),0),"")</f>
        <v/>
      </c>
      <c r="E257" s="1" t="str">
        <f>IFERROR(VLOOKUP(ТабПозиции[[#This Row],[orderNum]],ТабЗаказы[#Data],MATCH(E$7,ТабЗаказы[#Headers],0),0),"")</f>
        <v/>
      </c>
      <c r="F257" s="16" t="s">
        <v>640</v>
      </c>
      <c r="G257" s="40" t="s">
        <v>545</v>
      </c>
      <c r="I257" s="18">
        <v>45411</v>
      </c>
      <c r="J257" s="10">
        <v>1</v>
      </c>
      <c r="K257" s="10">
        <v>238</v>
      </c>
      <c r="L257">
        <v>238</v>
      </c>
      <c r="M257" s="10">
        <v>243</v>
      </c>
      <c r="N257">
        <f t="shared" si="3"/>
        <v>243</v>
      </c>
      <c r="P2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Row],[orderNum]],ТабПозиции[orderSumm])&gt;1500),ABS(N257*VLOOKUP(ТабПозиции[[#This Row],[orderNum]],ТабЗаказы[#Data],MATCH("Percent",ТабЗаказы[#Headers],0),0))/100,200/COUNTIF(ТабПозиции[orderNum],ТабПозиции[[#This Row],[orderNum]])),0),"")</f>
        <v>50</v>
      </c>
      <c r="Q257">
        <f>IF(OR(ТабПозиции[[#This Row],[item]]="По штрихкоду",ТабПозиции[[#This Row],[item]]="Посылка"),ТабПозиции[[#This Row],[deliverySumm]]+ТабПозиции[[#This Row],[deliveryPost]],SUM(N257:P257))</f>
        <v>293</v>
      </c>
      <c r="R257" s="41">
        <v>293</v>
      </c>
      <c r="S257" s="46">
        <f>ТабПозиции[[#This Row],[totalSumm]]-ТабПозиции[[#This Row],[payment]]</f>
        <v>0</v>
      </c>
      <c r="T257" s="18" t="s">
        <v>563</v>
      </c>
      <c r="U257" s="40" t="s">
        <v>545</v>
      </c>
      <c r="V257" s="40" t="s">
        <v>545</v>
      </c>
      <c r="W257" s="40" t="s">
        <v>545</v>
      </c>
      <c r="X257" s="3"/>
      <c r="Y257"/>
    </row>
    <row r="258" spans="1:25" hidden="1" x14ac:dyDescent="0.25">
      <c r="A258" s="10">
        <v>76</v>
      </c>
      <c r="B258" s="1">
        <f>IFERROR(VLOOKUP(ТабПозиции[[#This Row],[orderNum]],ТабЗаказы[#Data],MATCH(B$7,ТабЗаказы[#Headers],0),0),"")</f>
        <v>45408</v>
      </c>
      <c r="C258" t="str">
        <f>MONTH(ТабПозиции[[#This Row],[date]])&amp;"/"&amp;YEAR(ТабПозиции[[#This Row],[date]])</f>
        <v>4/2024</v>
      </c>
      <c r="D258" s="1" t="str">
        <f>IFERROR(VLOOKUP(ТабПозиции[[#This Row],[orderNum]],ТабЗаказы[#Data],MATCH(D$7,ТабЗаказы[#Headers],0),0),"")</f>
        <v/>
      </c>
      <c r="E258" s="1" t="str">
        <f>IFERROR(VLOOKUP(ТабПозиции[[#This Row],[orderNum]],ТабЗаказы[#Data],MATCH(E$7,ТабЗаказы[#Headers],0),0),"")</f>
        <v/>
      </c>
      <c r="F258" s="16" t="s">
        <v>779</v>
      </c>
      <c r="G258" s="40" t="s">
        <v>545</v>
      </c>
      <c r="I258" s="18">
        <v>45410</v>
      </c>
      <c r="J258" s="10">
        <v>1</v>
      </c>
      <c r="K258" s="10">
        <v>229</v>
      </c>
      <c r="L258">
        <v>229</v>
      </c>
      <c r="M258" s="10">
        <v>234</v>
      </c>
      <c r="N258">
        <f t="shared" si="3"/>
        <v>234</v>
      </c>
      <c r="P2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Row],[orderNum]],ТабПозиции[orderSumm])&gt;1500),ABS(N258*VLOOKUP(ТабПозиции[[#This Row],[orderNum]],ТабЗаказы[#Data],MATCH("Percent",ТабЗаказы[#Headers],0),0))/100,200/COUNTIF(ТабПозиции[orderNum],ТабПозиции[[#This Row],[orderNum]])),0),"")</f>
        <v>50</v>
      </c>
      <c r="Q258">
        <f>IF(OR(ТабПозиции[[#This Row],[item]]="По штрихкоду",ТабПозиции[[#This Row],[item]]="Посылка"),ТабПозиции[[#This Row],[deliverySumm]]+ТабПозиции[[#This Row],[deliveryPost]],SUM(N258:P258))</f>
        <v>284</v>
      </c>
      <c r="R258" s="41">
        <v>284</v>
      </c>
      <c r="S258" s="46">
        <f>ТабПозиции[[#This Row],[totalSumm]]-ТабПозиции[[#This Row],[payment]]</f>
        <v>0</v>
      </c>
      <c r="T258" s="18" t="s">
        <v>563</v>
      </c>
      <c r="U258" s="40" t="s">
        <v>545</v>
      </c>
      <c r="V258" s="40" t="s">
        <v>545</v>
      </c>
      <c r="W258" s="40" t="s">
        <v>545</v>
      </c>
      <c r="X258" s="3"/>
      <c r="Y258"/>
    </row>
    <row r="259" spans="1:25" hidden="1" x14ac:dyDescent="0.25">
      <c r="A259" s="10">
        <v>76</v>
      </c>
      <c r="B259" s="1">
        <f>IFERROR(VLOOKUP(ТабПозиции[[#This Row],[orderNum]],ТабЗаказы[#Data],MATCH(B$7,ТабЗаказы[#Headers],0),0),"")</f>
        <v>45408</v>
      </c>
      <c r="C259" t="str">
        <f>MONTH(ТабПозиции[[#This Row],[date]])&amp;"/"&amp;YEAR(ТабПозиции[[#This Row],[date]])</f>
        <v>4/2024</v>
      </c>
      <c r="D259" s="1" t="str">
        <f>IFERROR(VLOOKUP(ТабПозиции[[#This Row],[orderNum]],ТабЗаказы[#Data],MATCH(D$7,ТабЗаказы[#Headers],0),0),"")</f>
        <v/>
      </c>
      <c r="E259" s="1" t="str">
        <f>IFERROR(VLOOKUP(ТабПозиции[[#This Row],[orderNum]],ТабЗаказы[#Data],MATCH(E$7,ТабЗаказы[#Headers],0),0),"")</f>
        <v/>
      </c>
      <c r="F259" s="16" t="s">
        <v>780</v>
      </c>
      <c r="G259" s="40" t="s">
        <v>545</v>
      </c>
      <c r="I259" s="18">
        <v>45410</v>
      </c>
      <c r="J259" s="10">
        <v>1</v>
      </c>
      <c r="K259" s="10">
        <v>381</v>
      </c>
      <c r="L259">
        <v>381</v>
      </c>
      <c r="M259" s="10">
        <v>389</v>
      </c>
      <c r="N259">
        <f t="shared" si="3"/>
        <v>389</v>
      </c>
      <c r="P2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Row],[orderNum]],ТабПозиции[orderSumm])&gt;1500),ABS(N259*VLOOKUP(ТабПозиции[[#This Row],[orderNum]],ТабЗаказы[#Data],MATCH("Percent",ТабЗаказы[#Headers],0),0))/100,200/COUNTIF(ТабПозиции[orderNum],ТабПозиции[[#This Row],[orderNum]])),0),"")</f>
        <v>50</v>
      </c>
      <c r="Q259">
        <f>IF(OR(ТабПозиции[[#This Row],[item]]="По штрихкоду",ТабПозиции[[#This Row],[item]]="Посылка"),ТабПозиции[[#This Row],[deliverySumm]]+ТабПозиции[[#This Row],[deliveryPost]],SUM(N259:P259))</f>
        <v>439</v>
      </c>
      <c r="R259" s="41">
        <v>439</v>
      </c>
      <c r="S259" s="46">
        <f>ТабПозиции[[#This Row],[totalSumm]]-ТабПозиции[[#This Row],[payment]]</f>
        <v>0</v>
      </c>
      <c r="T259" s="18" t="s">
        <v>563</v>
      </c>
      <c r="U259" s="40" t="s">
        <v>545</v>
      </c>
      <c r="V259" s="40" t="s">
        <v>545</v>
      </c>
      <c r="W259" s="40" t="s">
        <v>545</v>
      </c>
      <c r="X259" s="3"/>
      <c r="Y259"/>
    </row>
    <row r="260" spans="1:25" hidden="1" x14ac:dyDescent="0.25">
      <c r="A260" s="10">
        <v>76</v>
      </c>
      <c r="B260" s="1">
        <f>IFERROR(VLOOKUP(ТабПозиции[[#This Row],[orderNum]],ТабЗаказы[#Data],MATCH(B$7,ТабЗаказы[#Headers],0),0),"")</f>
        <v>45408</v>
      </c>
      <c r="C260" t="str">
        <f>MONTH(ТабПозиции[[#This Row],[date]])&amp;"/"&amp;YEAR(ТабПозиции[[#This Row],[date]])</f>
        <v>4/2024</v>
      </c>
      <c r="D260" s="1" t="str">
        <f>IFERROR(VLOOKUP(ТабПозиции[[#This Row],[orderNum]],ТабЗаказы[#Data],MATCH(D$7,ТабЗаказы[#Headers],0),0),"")</f>
        <v/>
      </c>
      <c r="E260" s="1" t="str">
        <f>IFERROR(VLOOKUP(ТабПозиции[[#This Row],[orderNum]],ТабЗаказы[#Data],MATCH(E$7,ТабЗаказы[#Headers],0),0),"")</f>
        <v/>
      </c>
      <c r="F260" s="16" t="s">
        <v>777</v>
      </c>
      <c r="G260" s="40" t="s">
        <v>545</v>
      </c>
      <c r="I260" s="18">
        <v>45411</v>
      </c>
      <c r="J260" s="10">
        <v>1</v>
      </c>
      <c r="K260" s="10">
        <v>243</v>
      </c>
      <c r="L260">
        <v>243</v>
      </c>
      <c r="M260" s="10">
        <v>248</v>
      </c>
      <c r="N260">
        <f t="shared" si="3"/>
        <v>248</v>
      </c>
      <c r="P2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Row],[orderNum]],ТабПозиции[orderSumm])&gt;1500),ABS(N260*VLOOKUP(ТабПозиции[[#This Row],[orderNum]],ТабЗаказы[#Data],MATCH("Percent",ТабЗаказы[#Headers],0),0))/100,200/COUNTIF(ТабПозиции[orderNum],ТабПозиции[[#This Row],[orderNum]])),0),"")</f>
        <v>50</v>
      </c>
      <c r="Q260">
        <f>IF(OR(ТабПозиции[[#This Row],[item]]="По штрихкоду",ТабПозиции[[#This Row],[item]]="Посылка"),ТабПозиции[[#This Row],[deliverySumm]]+ТабПозиции[[#This Row],[deliveryPost]],SUM(N260:P260))</f>
        <v>298</v>
      </c>
      <c r="R260" s="41">
        <v>298</v>
      </c>
      <c r="S260" s="46">
        <f>ТабПозиции[[#This Row],[totalSumm]]-ТабПозиции[[#This Row],[payment]]</f>
        <v>0</v>
      </c>
      <c r="T260" s="18" t="s">
        <v>580</v>
      </c>
      <c r="U260" s="40" t="s">
        <v>545</v>
      </c>
      <c r="V260" s="40" t="s">
        <v>545</v>
      </c>
      <c r="W260" s="40" t="s">
        <v>545</v>
      </c>
      <c r="X260" s="3"/>
      <c r="Y260"/>
    </row>
    <row r="261" spans="1:25" hidden="1" x14ac:dyDescent="0.25">
      <c r="A261" s="10">
        <v>77</v>
      </c>
      <c r="B261" s="1">
        <f>IFERROR(VLOOKUP(ТабПозиции[[#This Row],[orderNum]],ТабЗаказы[#Data],MATCH(B$7,ТабЗаказы[#Headers],0),0),"")</f>
        <v>45409</v>
      </c>
      <c r="C261" t="str">
        <f>MONTH(ТабПозиции[[#This Row],[date]])&amp;"/"&amp;YEAR(ТабПозиции[[#This Row],[date]])</f>
        <v>4/2024</v>
      </c>
      <c r="D261" s="1" t="str">
        <f>IFERROR(VLOOKUP(ТабПозиции[[#This Row],[orderNum]],ТабЗаказы[#Data],MATCH(D$7,ТабЗаказы[#Headers],0),0),"")</f>
        <v/>
      </c>
      <c r="E261" s="1" t="str">
        <f>IFERROR(VLOOKUP(ТабПозиции[[#This Row],[orderNum]],ТабЗаказы[#Data],MATCH(E$7,ТабЗаказы[#Headers],0),0),"")</f>
        <v/>
      </c>
      <c r="F261" s="16" t="s">
        <v>781</v>
      </c>
      <c r="G261" s="40" t="s">
        <v>545</v>
      </c>
      <c r="I261" s="18">
        <v>45410</v>
      </c>
      <c r="J261" s="10">
        <v>1</v>
      </c>
      <c r="K261" s="10">
        <v>1776</v>
      </c>
      <c r="L261">
        <v>1776</v>
      </c>
      <c r="M261" s="10">
        <v>1920</v>
      </c>
      <c r="N261">
        <f t="shared" si="3"/>
        <v>1920</v>
      </c>
      <c r="P2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Row],[orderNum]],ТабПозиции[orderSumm])&gt;1500),ABS(N261*VLOOKUP(ТабПозиции[[#This Row],[orderNum]],ТабЗаказы[#Data],MATCH("Percent",ТабЗаказы[#Headers],0),0))/100,200/COUNTIF(ТабПозиции[orderNum],ТабПозиции[[#This Row],[orderNum]])),0),"")</f>
        <v>288</v>
      </c>
      <c r="Q261">
        <f>IF(OR(ТабПозиции[[#This Row],[item]]="По штрихкоду",ТабПозиции[[#This Row],[item]]="Посылка"),ТабПозиции[[#This Row],[deliverySumm]]+ТабПозиции[[#This Row],[deliveryPost]],SUM(N261:P261))</f>
        <v>2208</v>
      </c>
      <c r="R261" s="41">
        <v>2208</v>
      </c>
      <c r="S261" s="46">
        <f>ТабПозиции[[#This Row],[totalSumm]]-ТабПозиции[[#This Row],[payment]]</f>
        <v>0</v>
      </c>
      <c r="T261" s="18" t="s">
        <v>580</v>
      </c>
      <c r="U261" s="40" t="s">
        <v>552</v>
      </c>
      <c r="V261" s="40" t="s">
        <v>545</v>
      </c>
      <c r="W261" s="40" t="s">
        <v>545</v>
      </c>
      <c r="X261" s="3"/>
      <c r="Y261"/>
    </row>
    <row r="262" spans="1:25" hidden="1" x14ac:dyDescent="0.25">
      <c r="A262" s="10">
        <v>78</v>
      </c>
      <c r="B262" s="1">
        <f>IFERROR(VLOOKUP(ТабПозиции[[#This Row],[orderNum]],ТабЗаказы[#Data],MATCH(B$7,ТабЗаказы[#Headers],0),0),"")</f>
        <v>45409</v>
      </c>
      <c r="C262" t="str">
        <f>MONTH(ТабПозиции[[#This Row],[date]])&amp;"/"&amp;YEAR(ТабПозиции[[#This Row],[date]])</f>
        <v>4/2024</v>
      </c>
      <c r="D262" s="1" t="str">
        <f>IFERROR(VLOOKUP(ТабПозиции[[#This Row],[orderNum]],ТабЗаказы[#Data],MATCH(D$7,ТабЗаказы[#Headers],0),0),"")</f>
        <v/>
      </c>
      <c r="E262" s="1" t="str">
        <f>IFERROR(VLOOKUP(ТабПозиции[[#This Row],[orderNum]],ТабЗаказы[#Data],MATCH(E$7,ТабЗаказы[#Headers],0),0),"")</f>
        <v/>
      </c>
      <c r="F262" s="16" t="s">
        <v>782</v>
      </c>
      <c r="G262" s="40" t="s">
        <v>545</v>
      </c>
      <c r="I262" s="18">
        <v>45410</v>
      </c>
      <c r="J262" s="10">
        <v>1</v>
      </c>
      <c r="K262" s="10">
        <v>468</v>
      </c>
      <c r="L262">
        <v>468</v>
      </c>
      <c r="M262" s="10">
        <v>508</v>
      </c>
      <c r="N262">
        <f t="shared" si="3"/>
        <v>508</v>
      </c>
      <c r="P2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Row],[orderNum]],ТабПозиции[orderSumm])&gt;1500),ABS(N262*VLOOKUP(ТабПозиции[[#This Row],[orderNum]],ТабЗаказы[#Data],MATCH("Percent",ТабЗаказы[#Headers],0),0))/100,200/COUNTIF(ТабПозиции[orderNum],ТабПозиции[[#This Row],[orderNum]])),0),"")</f>
        <v>76</v>
      </c>
      <c r="Q262">
        <f>IF(OR(ТабПозиции[[#This Row],[item]]="По штрихкоду",ТабПозиции[[#This Row],[item]]="Посылка"),ТабПозиции[[#This Row],[deliverySumm]]+ТабПозиции[[#This Row],[deliveryPost]],SUM(N262:P262))</f>
        <v>584</v>
      </c>
      <c r="R262" s="41">
        <v>584</v>
      </c>
      <c r="S262" s="46">
        <f>ТабПозиции[[#This Row],[totalSumm]]-ТабПозиции[[#This Row],[payment]]</f>
        <v>0</v>
      </c>
      <c r="T262" s="18" t="s">
        <v>580</v>
      </c>
      <c r="U262" s="40" t="s">
        <v>545</v>
      </c>
      <c r="V262" s="40" t="s">
        <v>545</v>
      </c>
      <c r="W262" s="40" t="s">
        <v>545</v>
      </c>
      <c r="X262" s="3"/>
      <c r="Y262"/>
    </row>
    <row r="263" spans="1:25" hidden="1" x14ac:dyDescent="0.25">
      <c r="A263" s="10">
        <v>78</v>
      </c>
      <c r="B263" s="1">
        <f>IFERROR(VLOOKUP(ТабПозиции[[#This Row],[orderNum]],ТабЗаказы[#Data],MATCH(B$7,ТабЗаказы[#Headers],0),0),"")</f>
        <v>45409</v>
      </c>
      <c r="C263" t="str">
        <f>MONTH(ТабПозиции[[#This Row],[date]])&amp;"/"&amp;YEAR(ТабПозиции[[#This Row],[date]])</f>
        <v>4/2024</v>
      </c>
      <c r="D263" s="1" t="str">
        <f>IFERROR(VLOOKUP(ТабПозиции[[#This Row],[orderNum]],ТабЗаказы[#Data],MATCH(D$7,ТабЗаказы[#Headers],0),0),"")</f>
        <v/>
      </c>
      <c r="E263" s="1" t="str">
        <f>IFERROR(VLOOKUP(ТабПозиции[[#This Row],[orderNum]],ТабЗаказы[#Data],MATCH(E$7,ТабЗаказы[#Headers],0),0),"")</f>
        <v/>
      </c>
      <c r="F263" s="16" t="s">
        <v>705</v>
      </c>
      <c r="G263" s="40" t="s">
        <v>545</v>
      </c>
      <c r="I263" s="18">
        <v>45418</v>
      </c>
      <c r="J263" s="10">
        <v>1</v>
      </c>
      <c r="K263" s="10">
        <v>911</v>
      </c>
      <c r="L263">
        <v>911</v>
      </c>
      <c r="M263" s="10">
        <v>983</v>
      </c>
      <c r="N263">
        <f t="shared" si="3"/>
        <v>983</v>
      </c>
      <c r="P2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Row],[orderNum]],ТабПозиции[orderSumm])&gt;1500),ABS(N263*VLOOKUP(ТабПозиции[[#This Row],[orderNum]],ТабЗаказы[#Data],MATCH("Percent",ТабЗаказы[#Headers],0),0))/100,200/COUNTIF(ТабПозиции[orderNum],ТабПозиции[[#This Row],[orderNum]])),0),"")</f>
        <v>147</v>
      </c>
      <c r="Q263">
        <f>IF(OR(ТабПозиции[[#This Row],[item]]="По штрихкоду",ТабПозиции[[#This Row],[item]]="Посылка"),ТабПозиции[[#This Row],[deliverySumm]]+ТабПозиции[[#This Row],[deliveryPost]],SUM(N263:P263))</f>
        <v>1130</v>
      </c>
      <c r="R263" s="41">
        <v>1130</v>
      </c>
      <c r="S263" s="46">
        <f>ТабПозиции[[#This Row],[totalSumm]]-ТабПозиции[[#This Row],[payment]]</f>
        <v>0</v>
      </c>
      <c r="T263" s="18" t="s">
        <v>580</v>
      </c>
      <c r="U263" s="40" t="s">
        <v>545</v>
      </c>
      <c r="V263" s="40" t="s">
        <v>545</v>
      </c>
      <c r="W263" s="40" t="s">
        <v>545</v>
      </c>
      <c r="X263" s="3"/>
      <c r="Y263"/>
    </row>
    <row r="264" spans="1:25" hidden="1" x14ac:dyDescent="0.25">
      <c r="A264" s="10">
        <v>78</v>
      </c>
      <c r="B264" s="1">
        <f>IFERROR(VLOOKUP(ТабПозиции[[#This Row],[orderNum]],ТабЗаказы[#Data],MATCH(B$7,ТабЗаказы[#Headers],0),0),"")</f>
        <v>45409</v>
      </c>
      <c r="C264" t="str">
        <f>MONTH(ТабПозиции[[#This Row],[date]])&amp;"/"&amp;YEAR(ТабПозиции[[#This Row],[date]])</f>
        <v>4/2024</v>
      </c>
      <c r="D264" s="1" t="str">
        <f>IFERROR(VLOOKUP(ТабПозиции[[#This Row],[orderNum]],ТабЗаказы[#Data],MATCH(D$7,ТабЗаказы[#Headers],0),0),"")</f>
        <v/>
      </c>
      <c r="E264" s="1" t="str">
        <f>IFERROR(VLOOKUP(ТабПозиции[[#This Row],[orderNum]],ТабЗаказы[#Data],MATCH(E$7,ТабЗаказы[#Headers],0),0),"")</f>
        <v/>
      </c>
      <c r="F264" s="16" t="s">
        <v>783</v>
      </c>
      <c r="G264" s="40" t="s">
        <v>545</v>
      </c>
      <c r="I264" s="18">
        <v>45416</v>
      </c>
      <c r="J264" s="10">
        <v>1</v>
      </c>
      <c r="K264" s="10">
        <v>431</v>
      </c>
      <c r="L264">
        <v>431</v>
      </c>
      <c r="M264" s="10">
        <v>440</v>
      </c>
      <c r="N264">
        <f t="shared" si="3"/>
        <v>440</v>
      </c>
      <c r="P2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Row],[orderNum]],ТабПозиции[orderSumm])&gt;1500),ABS(N264*VLOOKUP(ТабПозиции[[#This Row],[orderNum]],ТабЗаказы[#Data],MATCH("Percent",ТабЗаказы[#Headers],0),0))/100,200/COUNTIF(ТабПозиции[orderNum],ТабПозиции[[#This Row],[orderNum]])),0),"")</f>
        <v>66</v>
      </c>
      <c r="Q264">
        <f>IF(OR(ТабПозиции[[#This Row],[item]]="По штрихкоду",ТабПозиции[[#This Row],[item]]="Посылка"),ТабПозиции[[#This Row],[deliverySumm]]+ТабПозиции[[#This Row],[deliveryPost]],SUM(N264:P264))</f>
        <v>506</v>
      </c>
      <c r="R264" s="41">
        <v>506</v>
      </c>
      <c r="S264" s="46">
        <f>ТабПозиции[[#This Row],[totalSumm]]-ТабПозиции[[#This Row],[payment]]</f>
        <v>0</v>
      </c>
      <c r="T264" s="18" t="s">
        <v>580</v>
      </c>
      <c r="U264" s="40" t="s">
        <v>545</v>
      </c>
      <c r="V264" s="40" t="s">
        <v>545</v>
      </c>
      <c r="W264" s="40" t="s">
        <v>545</v>
      </c>
      <c r="X264" s="3"/>
      <c r="Y264"/>
    </row>
    <row r="265" spans="1:25" hidden="1" x14ac:dyDescent="0.25">
      <c r="A265" s="10">
        <v>77</v>
      </c>
      <c r="B265" s="1">
        <f>IFERROR(VLOOKUP(ТабПозиции[[#This Row],[orderNum]],ТабЗаказы[#Data],MATCH(B$7,ТабЗаказы[#Headers],0),0),"")</f>
        <v>45409</v>
      </c>
      <c r="C265" t="str">
        <f>MONTH(ТабПозиции[[#This Row],[date]])&amp;"/"&amp;YEAR(ТабПозиции[[#This Row],[date]])</f>
        <v>4/2024</v>
      </c>
      <c r="D265" s="1" t="str">
        <f>IFERROR(VLOOKUP(ТабПозиции[[#This Row],[orderNum]],ТабЗаказы[#Data],MATCH(D$7,ТабЗаказы[#Headers],0),0),"")</f>
        <v/>
      </c>
      <c r="E265" s="1" t="str">
        <f>IFERROR(VLOOKUP(ТабПозиции[[#This Row],[orderNum]],ТабЗаказы[#Data],MATCH(E$7,ТабЗаказы[#Headers],0),0),"")</f>
        <v/>
      </c>
      <c r="F265" s="19" t="s">
        <v>784</v>
      </c>
      <c r="G265" s="40" t="s">
        <v>545</v>
      </c>
      <c r="I265" s="18">
        <v>45432</v>
      </c>
      <c r="J265" s="10">
        <v>1</v>
      </c>
      <c r="K265" s="10">
        <v>636</v>
      </c>
      <c r="L265">
        <v>636</v>
      </c>
      <c r="M265" s="10">
        <v>690</v>
      </c>
      <c r="N265">
        <f t="shared" si="3"/>
        <v>690</v>
      </c>
      <c r="P2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Row],[orderNum]],ТабПозиции[orderSumm])&gt;1500),ABS(N265*VLOOKUP(ТабПозиции[[#This Row],[orderNum]],ТабЗаказы[#Data],MATCH("Percent",ТабЗаказы[#Headers],0),0))/100,200/COUNTIF(ТабПозиции[orderNum],ТабПозиции[[#This Row],[orderNum]])),0),"")</f>
        <v>104</v>
      </c>
      <c r="Q265">
        <f>IF(OR(ТабПозиции[[#This Row],[item]]="По штрихкоду",ТабПозиции[[#This Row],[item]]="Посылка"),ТабПозиции[[#This Row],[deliverySumm]]+ТабПозиции[[#This Row],[deliveryPost]],SUM(N265:P265))</f>
        <v>794</v>
      </c>
      <c r="R265" s="41">
        <v>794</v>
      </c>
      <c r="S265" s="46">
        <f>ТабПозиции[[#This Row],[totalSumm]]-ТабПозиции[[#This Row],[payment]]</f>
        <v>0</v>
      </c>
      <c r="T265" s="18" t="s">
        <v>580</v>
      </c>
      <c r="U265" s="40" t="s">
        <v>545</v>
      </c>
      <c r="V265" s="40" t="s">
        <v>545</v>
      </c>
      <c r="W265" s="48" t="s">
        <v>545</v>
      </c>
      <c r="X265" s="3"/>
      <c r="Y265"/>
    </row>
    <row r="266" spans="1:25" hidden="1" x14ac:dyDescent="0.25">
      <c r="A266" s="10">
        <v>79</v>
      </c>
      <c r="B266" s="1">
        <f>IFERROR(VLOOKUP(ТабПозиции[[#This Row],[orderNum]],ТабЗаказы[#Data],MATCH(B$7,ТабЗаказы[#Headers],0),0),"")</f>
        <v>45410</v>
      </c>
      <c r="C266" t="str">
        <f>MONTH(ТабПозиции[[#This Row],[date]])&amp;"/"&amp;YEAR(ТабПозиции[[#This Row],[date]])</f>
        <v>4/2024</v>
      </c>
      <c r="D266" s="1" t="str">
        <f>IFERROR(VLOOKUP(ТабПозиции[[#This Row],[orderNum]],ТабЗаказы[#Data],MATCH(D$7,ТабЗаказы[#Headers],0),0),"")</f>
        <v/>
      </c>
      <c r="E266" s="1" t="str">
        <f>IFERROR(VLOOKUP(ТабПозиции[[#This Row],[orderNum]],ТабЗаказы[#Data],MATCH(E$7,ТабЗаказы[#Headers],0),0),"")</f>
        <v/>
      </c>
      <c r="F266" s="19" t="s">
        <v>785</v>
      </c>
      <c r="G266" s="40" t="s">
        <v>545</v>
      </c>
      <c r="I266" s="18">
        <v>45449</v>
      </c>
      <c r="J266" s="10">
        <v>1</v>
      </c>
      <c r="K266" s="10">
        <v>2532</v>
      </c>
      <c r="L266">
        <v>2532</v>
      </c>
      <c r="M266" s="10">
        <v>2632</v>
      </c>
      <c r="N266">
        <f t="shared" si="3"/>
        <v>2632</v>
      </c>
      <c r="P2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Row],[orderNum]],ТабПозиции[orderSumm])&gt;1500),ABS(N266*VLOOKUP(ТабПозиции[[#This Row],[orderNum]],ТабЗаказы[#Data],MATCH("Percent",ТабЗаказы[#Headers],0),0))/100,200/COUNTIF(ТабПозиции[orderNum],ТабПозиции[[#This Row],[orderNum]])),0),"")</f>
        <v>395</v>
      </c>
      <c r="Q266">
        <f>IF(OR(ТабПозиции[[#This Row],[item]]="По штрихкоду",ТабПозиции[[#This Row],[item]]="Посылка"),ТабПозиции[[#This Row],[deliverySumm]]+ТабПозиции[[#This Row],[deliveryPost]],SUM(N266:P266))</f>
        <v>3027</v>
      </c>
      <c r="R266" s="41">
        <v>3027</v>
      </c>
      <c r="S266" s="46">
        <f>ТабПозиции[[#This Row],[totalSumm]]-ТабПозиции[[#This Row],[payment]]</f>
        <v>0</v>
      </c>
      <c r="T266" s="18" t="s">
        <v>580</v>
      </c>
      <c r="U266" s="40" t="s">
        <v>545</v>
      </c>
      <c r="V266" s="40" t="s">
        <v>545</v>
      </c>
      <c r="W266" s="40" t="s">
        <v>545</v>
      </c>
      <c r="X266" s="3"/>
      <c r="Y266"/>
    </row>
    <row r="267" spans="1:25" hidden="1" x14ac:dyDescent="0.25">
      <c r="A267" s="10">
        <v>79</v>
      </c>
      <c r="B267" s="1">
        <f>IFERROR(VLOOKUP(ТабПозиции[[#This Row],[orderNum]],ТабЗаказы[#Data],MATCH(B$7,ТабЗаказы[#Headers],0),0),"")</f>
        <v>45410</v>
      </c>
      <c r="C267" t="str">
        <f>MONTH(ТабПозиции[[#This Row],[date]])&amp;"/"&amp;YEAR(ТабПозиции[[#This Row],[date]])</f>
        <v>4/2024</v>
      </c>
      <c r="D267" s="1" t="str">
        <f>IFERROR(VLOOKUP(ТабПозиции[[#This Row],[orderNum]],ТабЗаказы[#Data],MATCH(D$7,ТабЗаказы[#Headers],0),0),"")</f>
        <v/>
      </c>
      <c r="E267" s="1" t="str">
        <f>IFERROR(VLOOKUP(ТабПозиции[[#This Row],[orderNum]],ТабЗаказы[#Data],MATCH(E$7,ТабЗаказы[#Headers],0),0),"")</f>
        <v/>
      </c>
      <c r="F267" s="19" t="s">
        <v>786</v>
      </c>
      <c r="G267" s="40" t="s">
        <v>545</v>
      </c>
      <c r="I267" s="18">
        <v>45416</v>
      </c>
      <c r="J267" s="10">
        <v>1</v>
      </c>
      <c r="K267" s="10">
        <v>482</v>
      </c>
      <c r="L267">
        <v>482</v>
      </c>
      <c r="M267" s="10">
        <v>515</v>
      </c>
      <c r="N267">
        <f t="shared" si="3"/>
        <v>515</v>
      </c>
      <c r="P2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Row],[orderNum]],ТабПозиции[orderSumm])&gt;1500),ABS(N267*VLOOKUP(ТабПозиции[[#This Row],[orderNum]],ТабЗаказы[#Data],MATCH("Percent",ТабЗаказы[#Headers],0),0))/100,200/COUNTIF(ТабПозиции[orderNum],ТабПозиции[[#This Row],[orderNum]])),0),"")</f>
        <v>77</v>
      </c>
      <c r="Q267">
        <f>IF(OR(ТабПозиции[[#This Row],[item]]="По штрихкоду",ТабПозиции[[#This Row],[item]]="Посылка"),ТабПозиции[[#This Row],[deliverySumm]]+ТабПозиции[[#This Row],[deliveryPost]],SUM(N267:P267))</f>
        <v>592</v>
      </c>
      <c r="R267" s="41">
        <v>592</v>
      </c>
      <c r="S267" s="46">
        <f>ТабПозиции[[#This Row],[totalSumm]]-ТабПозиции[[#This Row],[payment]]</f>
        <v>0</v>
      </c>
      <c r="T267" s="18" t="s">
        <v>580</v>
      </c>
      <c r="U267" s="40" t="s">
        <v>545</v>
      </c>
      <c r="V267" s="40" t="s">
        <v>545</v>
      </c>
      <c r="W267" s="40" t="s">
        <v>545</v>
      </c>
      <c r="X267" s="3"/>
      <c r="Y267"/>
    </row>
    <row r="268" spans="1:25" hidden="1" x14ac:dyDescent="0.25">
      <c r="A268" s="10">
        <v>79</v>
      </c>
      <c r="B268" s="1">
        <f>IFERROR(VLOOKUP(ТабПозиции[[#This Row],[orderNum]],ТабЗаказы[#Data],MATCH(B$7,ТабЗаказы[#Headers],0),0),"")</f>
        <v>45410</v>
      </c>
      <c r="C268" t="str">
        <f>MONTH(ТабПозиции[[#This Row],[date]])&amp;"/"&amp;YEAR(ТабПозиции[[#This Row],[date]])</f>
        <v>4/2024</v>
      </c>
      <c r="D268" s="1" t="str">
        <f>IFERROR(VLOOKUP(ТабПозиции[[#This Row],[orderNum]],ТабЗаказы[#Data],MATCH(D$7,ТабЗаказы[#Headers],0),0),"")</f>
        <v/>
      </c>
      <c r="E268" s="1" t="str">
        <f>IFERROR(VLOOKUP(ТабПозиции[[#This Row],[orderNum]],ТабЗаказы[#Data],MATCH(E$7,ТабЗаказы[#Headers],0),0),"")</f>
        <v/>
      </c>
      <c r="F268" s="19" t="s">
        <v>787</v>
      </c>
      <c r="G268" s="40" t="s">
        <v>545</v>
      </c>
      <c r="I268" s="18">
        <v>45415</v>
      </c>
      <c r="J268" s="10">
        <v>1</v>
      </c>
      <c r="K268" s="10">
        <v>562</v>
      </c>
      <c r="L268">
        <v>562</v>
      </c>
      <c r="M268" s="10">
        <v>600</v>
      </c>
      <c r="N268">
        <f t="shared" ref="N268:N331" si="4">M268*J268</f>
        <v>600</v>
      </c>
      <c r="P2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Row],[orderNum]],ТабПозиции[orderSumm])&gt;1500),ABS(N268*VLOOKUP(ТабПозиции[[#This Row],[orderNum]],ТабЗаказы[#Data],MATCH("Percent",ТабЗаказы[#Headers],0),0))/100,200/COUNTIF(ТабПозиции[orderNum],ТабПозиции[[#This Row],[orderNum]])),0),"")</f>
        <v>90</v>
      </c>
      <c r="Q268">
        <f>IF(OR(ТабПозиции[[#This Row],[item]]="По штрихкоду",ТабПозиции[[#This Row],[item]]="Посылка"),ТабПозиции[[#This Row],[deliverySumm]]+ТабПозиции[[#This Row],[deliveryPost]],SUM(N268:P268))</f>
        <v>690</v>
      </c>
      <c r="R268" s="41">
        <v>690</v>
      </c>
      <c r="S268" s="46">
        <f>ТабПозиции[[#This Row],[totalSumm]]-ТабПозиции[[#This Row],[payment]]</f>
        <v>0</v>
      </c>
      <c r="T268" s="18" t="s">
        <v>580</v>
      </c>
      <c r="U268" s="40" t="s">
        <v>545</v>
      </c>
      <c r="V268" s="40" t="s">
        <v>545</v>
      </c>
      <c r="W268" s="40" t="s">
        <v>545</v>
      </c>
      <c r="X268" s="3"/>
      <c r="Y268"/>
    </row>
    <row r="269" spans="1:25" hidden="1" x14ac:dyDescent="0.25">
      <c r="A269" s="10">
        <v>79</v>
      </c>
      <c r="B269" s="1">
        <f>IFERROR(VLOOKUP(ТабПозиции[[#This Row],[orderNum]],ТабЗаказы[#Data],MATCH(B$7,ТабЗаказы[#Headers],0),0),"")</f>
        <v>45410</v>
      </c>
      <c r="C269" t="str">
        <f>MONTH(ТабПозиции[[#This Row],[date]])&amp;"/"&amp;YEAR(ТабПозиции[[#This Row],[date]])</f>
        <v>4/2024</v>
      </c>
      <c r="D269" s="1" t="str">
        <f>IFERROR(VLOOKUP(ТабПозиции[[#This Row],[orderNum]],ТабЗаказы[#Data],MATCH(D$7,ТабЗаказы[#Headers],0),0),"")</f>
        <v/>
      </c>
      <c r="E269" s="1" t="str">
        <f>IFERROR(VLOOKUP(ТабПозиции[[#This Row],[orderNum]],ТабЗаказы[#Data],MATCH(E$7,ТабЗаказы[#Headers],0),0),"")</f>
        <v/>
      </c>
      <c r="F269" s="19" t="s">
        <v>788</v>
      </c>
      <c r="G269" s="40" t="s">
        <v>545</v>
      </c>
      <c r="I269" s="18">
        <v>45418</v>
      </c>
      <c r="J269" s="10">
        <v>1</v>
      </c>
      <c r="K269" s="10">
        <v>3174</v>
      </c>
      <c r="L269">
        <v>3174</v>
      </c>
      <c r="M269" s="10">
        <v>3358</v>
      </c>
      <c r="N269">
        <f t="shared" si="4"/>
        <v>3358</v>
      </c>
      <c r="P2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Row],[orderNum]],ТабПозиции[orderSumm])&gt;1500),ABS(N269*VLOOKUP(ТабПозиции[[#This Row],[orderNum]],ТабЗаказы[#Data],MATCH("Percent",ТабЗаказы[#Headers],0),0))/100,200/COUNTIF(ТабПозиции[orderNum],ТабПозиции[[#This Row],[orderNum]])),0),"")</f>
        <v>504</v>
      </c>
      <c r="Q269">
        <f>IF(OR(ТабПозиции[[#This Row],[item]]="По штрихкоду",ТабПозиции[[#This Row],[item]]="Посылка"),ТабПозиции[[#This Row],[deliverySumm]]+ТабПозиции[[#This Row],[deliveryPost]],SUM(N269:P269))</f>
        <v>3862</v>
      </c>
      <c r="R269" s="41">
        <v>3862</v>
      </c>
      <c r="S269" s="46">
        <f>ТабПозиции[[#This Row],[totalSumm]]-ТабПозиции[[#This Row],[payment]]</f>
        <v>0</v>
      </c>
      <c r="T269" s="18" t="s">
        <v>580</v>
      </c>
      <c r="U269" s="40" t="s">
        <v>545</v>
      </c>
      <c r="V269" s="40" t="s">
        <v>545</v>
      </c>
      <c r="W269" s="40" t="s">
        <v>545</v>
      </c>
      <c r="X269" s="3"/>
      <c r="Y269"/>
    </row>
    <row r="270" spans="1:25" hidden="1" x14ac:dyDescent="0.25">
      <c r="A270" s="10">
        <v>79</v>
      </c>
      <c r="B270" s="1">
        <f>IFERROR(VLOOKUP(ТабПозиции[[#This Row],[orderNum]],ТабЗаказы[#Data],MATCH(B$7,ТабЗаказы[#Headers],0),0),"")</f>
        <v>45410</v>
      </c>
      <c r="C270" t="str">
        <f>MONTH(ТабПозиции[[#This Row],[date]])&amp;"/"&amp;YEAR(ТабПозиции[[#This Row],[date]])</f>
        <v>4/2024</v>
      </c>
      <c r="D270" s="1" t="str">
        <f>IFERROR(VLOOKUP(ТабПозиции[[#This Row],[orderNum]],ТабЗаказы[#Data],MATCH(D$7,ТабЗаказы[#Headers],0),0),"")</f>
        <v/>
      </c>
      <c r="E270" s="1" t="str">
        <f>IFERROR(VLOOKUP(ТабПозиции[[#This Row],[orderNum]],ТабЗаказы[#Data],MATCH(E$7,ТабЗаказы[#Headers],0),0),"")</f>
        <v/>
      </c>
      <c r="F270" s="19" t="s">
        <v>579</v>
      </c>
      <c r="G270" s="40" t="s">
        <v>545</v>
      </c>
      <c r="I270" s="18">
        <v>45412</v>
      </c>
      <c r="J270" s="10">
        <v>1</v>
      </c>
      <c r="K270" s="10">
        <v>510</v>
      </c>
      <c r="L270">
        <v>510</v>
      </c>
      <c r="M270" s="10">
        <v>551</v>
      </c>
      <c r="N270">
        <f t="shared" si="4"/>
        <v>551</v>
      </c>
      <c r="P2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Row],[orderNum]],ТабПозиции[orderSumm])&gt;1500),ABS(N270*VLOOKUP(ТабПозиции[[#This Row],[orderNum]],ТабЗаказы[#Data],MATCH("Percent",ТабЗаказы[#Headers],0),0))/100,200/COUNTIF(ТабПозиции[orderNum],ТабПозиции[[#This Row],[orderNum]])),0),"")</f>
        <v>83</v>
      </c>
      <c r="Q270">
        <f>IF(OR(ТабПозиции[[#This Row],[item]]="По штрихкоду",ТабПозиции[[#This Row],[item]]="Посылка"),ТабПозиции[[#This Row],[deliverySumm]]+ТабПозиции[[#This Row],[deliveryPost]],SUM(N270:P270))</f>
        <v>634</v>
      </c>
      <c r="R270" s="41">
        <v>634</v>
      </c>
      <c r="S270" s="46">
        <f>ТабПозиции[[#This Row],[totalSumm]]-ТабПозиции[[#This Row],[payment]]</f>
        <v>0</v>
      </c>
      <c r="T270" s="18" t="s">
        <v>580</v>
      </c>
      <c r="U270" s="40" t="s">
        <v>545</v>
      </c>
      <c r="V270" s="40" t="s">
        <v>545</v>
      </c>
      <c r="W270" s="40" t="s">
        <v>545</v>
      </c>
      <c r="X270" s="3"/>
      <c r="Y270"/>
    </row>
    <row r="271" spans="1:25" hidden="1" x14ac:dyDescent="0.25">
      <c r="A271" s="10">
        <v>78</v>
      </c>
      <c r="B271" s="1">
        <f>IFERROR(VLOOKUP(ТабПозиции[[#This Row],[orderNum]],ТабЗаказы[#Data],MATCH(B$7,ТабЗаказы[#Headers],0),0),"")</f>
        <v>45409</v>
      </c>
      <c r="C271" t="str">
        <f>MONTH(ТабПозиции[[#This Row],[date]])&amp;"/"&amp;YEAR(ТабПозиции[[#This Row],[date]])</f>
        <v>4/2024</v>
      </c>
      <c r="D271" s="1" t="str">
        <f>IFERROR(VLOOKUP(ТабПозиции[[#This Row],[orderNum]],ТабЗаказы[#Data],MATCH(D$7,ТабЗаказы[#Headers],0),0),"")</f>
        <v/>
      </c>
      <c r="E271" s="1" t="str">
        <f>IFERROR(VLOOKUP(ТабПозиции[[#This Row],[orderNum]],ТабЗаказы[#Data],MATCH(E$7,ТабЗаказы[#Headers],0),0),"")</f>
        <v/>
      </c>
      <c r="F271" s="21" t="s">
        <v>789</v>
      </c>
      <c r="G271" s="40" t="s">
        <v>545</v>
      </c>
      <c r="I271" s="18">
        <v>45415</v>
      </c>
      <c r="J271" s="10">
        <v>1</v>
      </c>
      <c r="K271" s="10">
        <v>215</v>
      </c>
      <c r="L271">
        <v>215</v>
      </c>
      <c r="M271" s="10">
        <v>219</v>
      </c>
      <c r="N271">
        <f t="shared" si="4"/>
        <v>219</v>
      </c>
      <c r="P2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Row],[orderNum]],ТабПозиции[orderSumm])&gt;1500),ABS(N271*VLOOKUP(ТабПозиции[[#This Row],[orderNum]],ТабЗаказы[#Data],MATCH("Percent",ТабЗаказы[#Headers],0),0))/100,200/COUNTIF(ТабПозиции[orderNum],ТабПозиции[[#This Row],[orderNum]])),0),"")</f>
        <v>33</v>
      </c>
      <c r="Q271">
        <f>IF(OR(ТабПозиции[[#This Row],[item]]="По штрихкоду",ТабПозиции[[#This Row],[item]]="Посылка"),ТабПозиции[[#This Row],[deliverySumm]]+ТабПозиции[[#This Row],[deliveryPost]],SUM(N271:P271))</f>
        <v>252</v>
      </c>
      <c r="R271" s="41">
        <v>252</v>
      </c>
      <c r="S271" s="46">
        <f>ТабПозиции[[#This Row],[totalSumm]]-ТабПозиции[[#This Row],[payment]]</f>
        <v>0</v>
      </c>
      <c r="T271" s="18" t="s">
        <v>580</v>
      </c>
      <c r="U271" s="40" t="s">
        <v>545</v>
      </c>
      <c r="V271" s="40" t="s">
        <v>545</v>
      </c>
      <c r="W271" s="40" t="s">
        <v>545</v>
      </c>
      <c r="X271" s="3"/>
      <c r="Y271"/>
    </row>
    <row r="272" spans="1:25" hidden="1" x14ac:dyDescent="0.25">
      <c r="A272" s="10">
        <v>78</v>
      </c>
      <c r="B272" s="1">
        <f>IFERROR(VLOOKUP(ТабПозиции[[#This Row],[orderNum]],ТабЗаказы[#Data],MATCH(B$7,ТабЗаказы[#Headers],0),0),"")</f>
        <v>45409</v>
      </c>
      <c r="C272" t="str">
        <f>MONTH(ТабПозиции[[#This Row],[date]])&amp;"/"&amp;YEAR(ТабПозиции[[#This Row],[date]])</f>
        <v>4/2024</v>
      </c>
      <c r="D272" s="1" t="str">
        <f>IFERROR(VLOOKUP(ТабПозиции[[#This Row],[orderNum]],ТабЗаказы[#Data],MATCH(D$7,ТабЗаказы[#Headers],0),0),"")</f>
        <v/>
      </c>
      <c r="E272" s="1" t="str">
        <f>IFERROR(VLOOKUP(ТабПозиции[[#This Row],[orderNum]],ТабЗаказы[#Data],MATCH(E$7,ТабЗаказы[#Headers],0),0),"")</f>
        <v/>
      </c>
      <c r="F272" s="16" t="s">
        <v>790</v>
      </c>
      <c r="G272" s="40" t="s">
        <v>545</v>
      </c>
      <c r="I272" s="18">
        <v>45415</v>
      </c>
      <c r="J272" s="10">
        <v>1</v>
      </c>
      <c r="K272" s="10">
        <v>354</v>
      </c>
      <c r="L272">
        <v>354</v>
      </c>
      <c r="M272" s="10">
        <v>361</v>
      </c>
      <c r="N272">
        <f t="shared" si="4"/>
        <v>361</v>
      </c>
      <c r="P2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Row],[orderNum]],ТабПозиции[orderSumm])&gt;1500),ABS(N272*VLOOKUP(ТабПозиции[[#This Row],[orderNum]],ТабЗаказы[#Data],MATCH("Percent",ТабЗаказы[#Headers],0),0))/100,200/COUNTIF(ТабПозиции[orderNum],ТабПозиции[[#This Row],[orderNum]])),0),"")</f>
        <v>54</v>
      </c>
      <c r="Q272">
        <f>IF(OR(ТабПозиции[[#This Row],[item]]="По штрихкоду",ТабПозиции[[#This Row],[item]]="Посылка"),ТабПозиции[[#This Row],[deliverySumm]]+ТабПозиции[[#This Row],[deliveryPost]],SUM(N272:P272))</f>
        <v>415</v>
      </c>
      <c r="R272" s="41">
        <v>415</v>
      </c>
      <c r="S272" s="46">
        <f>ТабПозиции[[#This Row],[totalSumm]]-ТабПозиции[[#This Row],[payment]]</f>
        <v>0</v>
      </c>
      <c r="T272" s="18" t="s">
        <v>580</v>
      </c>
      <c r="U272" s="40" t="s">
        <v>545</v>
      </c>
      <c r="V272" s="40" t="s">
        <v>545</v>
      </c>
      <c r="W272" s="40" t="s">
        <v>545</v>
      </c>
      <c r="X272" s="3"/>
      <c r="Y272"/>
    </row>
    <row r="273" spans="1:25" hidden="1" x14ac:dyDescent="0.25">
      <c r="A273" s="10">
        <v>80</v>
      </c>
      <c r="B273" s="1">
        <f>IFERROR(VLOOKUP(ТабПозиции[[#This Row],[orderNum]],ТабЗаказы[#Data],MATCH(B$7,ТабЗаказы[#Headers],0),0),"")</f>
        <v>45412</v>
      </c>
      <c r="C273" t="str">
        <f>MONTH(ТабПозиции[[#This Row],[date]])&amp;"/"&amp;YEAR(ТабПозиции[[#This Row],[date]])</f>
        <v>4/2024</v>
      </c>
      <c r="D273" s="1" t="str">
        <f>IFERROR(VLOOKUP(ТабПозиции[[#This Row],[orderNum]],ТабЗаказы[#Data],MATCH(D$7,ТабЗаказы[#Headers],0),0),"")</f>
        <v/>
      </c>
      <c r="E273" s="1" t="str">
        <f>IFERROR(VLOOKUP(ТабПозиции[[#This Row],[orderNum]],ТабЗаказы[#Data],MATCH(E$7,ТабЗаказы[#Headers],0),0),"")</f>
        <v/>
      </c>
      <c r="F273" s="16" t="s">
        <v>791</v>
      </c>
      <c r="G273" s="40" t="s">
        <v>545</v>
      </c>
      <c r="I273" s="18">
        <v>45420</v>
      </c>
      <c r="J273" s="10">
        <v>1</v>
      </c>
      <c r="K273" s="10">
        <v>386</v>
      </c>
      <c r="L273">
        <v>386</v>
      </c>
      <c r="M273" s="10">
        <v>394</v>
      </c>
      <c r="N273">
        <f t="shared" si="4"/>
        <v>394</v>
      </c>
      <c r="P2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Row],[orderNum]],ТабПозиции[orderSumm])&gt;1500),ABS(N273*VLOOKUP(ТабПозиции[[#This Row],[orderNum]],ТабЗаказы[#Data],MATCH("Percent",ТабЗаказы[#Headers],0),0))/100,200/COUNTIF(ТабПозиции[orderNum],ТабПозиции[[#This Row],[orderNum]])),0),"")</f>
        <v>59</v>
      </c>
      <c r="Q273">
        <f>IF(OR(ТабПозиции[[#This Row],[item]]="По штрихкоду",ТабПозиции[[#This Row],[item]]="Посылка"),ТабПозиции[[#This Row],[deliverySumm]]+ТабПозиции[[#This Row],[deliveryPost]],SUM(N273:P273))</f>
        <v>453</v>
      </c>
      <c r="R273" s="41">
        <v>453</v>
      </c>
      <c r="S273" s="46">
        <f>ТабПозиции[[#This Row],[totalSumm]]-ТабПозиции[[#This Row],[payment]]</f>
        <v>0</v>
      </c>
      <c r="T273" s="18" t="s">
        <v>580</v>
      </c>
      <c r="U273" s="40" t="s">
        <v>545</v>
      </c>
      <c r="V273" s="40" t="s">
        <v>545</v>
      </c>
      <c r="W273" s="48" t="s">
        <v>545</v>
      </c>
      <c r="X273" s="3"/>
      <c r="Y273"/>
    </row>
    <row r="274" spans="1:25" hidden="1" x14ac:dyDescent="0.25">
      <c r="A274" s="10">
        <v>80</v>
      </c>
      <c r="B274" s="1">
        <f>IFERROR(VLOOKUP(ТабПозиции[[#This Row],[orderNum]],ТабЗаказы[#Data],MATCH(B$7,ТабЗаказы[#Headers],0),0),"")</f>
        <v>45412</v>
      </c>
      <c r="C274" t="str">
        <f>MONTH(ТабПозиции[[#This Row],[date]])&amp;"/"&amp;YEAR(ТабПозиции[[#This Row],[date]])</f>
        <v>4/2024</v>
      </c>
      <c r="D274" s="1" t="str">
        <f>IFERROR(VLOOKUP(ТабПозиции[[#This Row],[orderNum]],ТабЗаказы[#Data],MATCH(D$7,ТабЗаказы[#Headers],0),0),"")</f>
        <v/>
      </c>
      <c r="E274" s="1" t="str">
        <f>IFERROR(VLOOKUP(ТабПозиции[[#This Row],[orderNum]],ТабЗаказы[#Data],MATCH(E$7,ТабЗаказы[#Headers],0),0),"")</f>
        <v/>
      </c>
      <c r="F274" s="16" t="s">
        <v>792</v>
      </c>
      <c r="G274" s="40" t="s">
        <v>545</v>
      </c>
      <c r="I274" s="18">
        <v>45415</v>
      </c>
      <c r="J274" s="10">
        <v>1</v>
      </c>
      <c r="K274" s="10">
        <v>435</v>
      </c>
      <c r="L274">
        <v>435</v>
      </c>
      <c r="M274" s="10">
        <v>463</v>
      </c>
      <c r="N274">
        <f t="shared" si="4"/>
        <v>463</v>
      </c>
      <c r="P2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Row],[orderNum]],ТабПозиции[orderSumm])&gt;1500),ABS(N274*VLOOKUP(ТабПозиции[[#This Row],[orderNum]],ТабЗаказы[#Data],MATCH("Percent",ТабЗаказы[#Headers],0),0))/100,200/COUNTIF(ТабПозиции[orderNum],ТабПозиции[[#This Row],[orderNum]])),0),"")</f>
        <v>69</v>
      </c>
      <c r="Q274">
        <f>IF(OR(ТабПозиции[[#This Row],[item]]="По штрихкоду",ТабПозиции[[#This Row],[item]]="Посылка"),ТабПозиции[[#This Row],[deliverySumm]]+ТабПозиции[[#This Row],[deliveryPost]],SUM(N274:P274))</f>
        <v>532</v>
      </c>
      <c r="R274" s="41">
        <v>532</v>
      </c>
      <c r="S274" s="46">
        <f>ТабПозиции[[#This Row],[totalSumm]]-ТабПозиции[[#This Row],[payment]]</f>
        <v>0</v>
      </c>
      <c r="T274" s="18" t="s">
        <v>580</v>
      </c>
      <c r="U274" s="40" t="s">
        <v>545</v>
      </c>
      <c r="V274" s="40" t="s">
        <v>545</v>
      </c>
      <c r="W274" s="40" t="s">
        <v>545</v>
      </c>
      <c r="X274" s="3"/>
      <c r="Y274"/>
    </row>
    <row r="275" spans="1:25" hidden="1" x14ac:dyDescent="0.25">
      <c r="A275" s="10">
        <v>80</v>
      </c>
      <c r="B275" s="1">
        <f>IFERROR(VLOOKUP(ТабПозиции[[#This Row],[orderNum]],ТабЗаказы[#Data],MATCH(B$7,ТабЗаказы[#Headers],0),0),"")</f>
        <v>45412</v>
      </c>
      <c r="C275" t="str">
        <f>MONTH(ТабПозиции[[#This Row],[date]])&amp;"/"&amp;YEAR(ТабПозиции[[#This Row],[date]])</f>
        <v>4/2024</v>
      </c>
      <c r="D275" s="1" t="str">
        <f>IFERROR(VLOOKUP(ТабПозиции[[#This Row],[orderNum]],ТабЗаказы[#Data],MATCH(D$7,ТабЗаказы[#Headers],0),0),"")</f>
        <v/>
      </c>
      <c r="E275" s="1" t="str">
        <f>IFERROR(VLOOKUP(ТабПозиции[[#This Row],[orderNum]],ТабЗаказы[#Data],MATCH(E$7,ТабЗаказы[#Headers],0),0),"")</f>
        <v/>
      </c>
      <c r="F275" s="16" t="s">
        <v>793</v>
      </c>
      <c r="G275" s="40" t="s">
        <v>545</v>
      </c>
      <c r="I275" s="18">
        <v>45415</v>
      </c>
      <c r="J275" s="10">
        <v>1</v>
      </c>
      <c r="K275" s="10">
        <v>503</v>
      </c>
      <c r="L275">
        <v>503</v>
      </c>
      <c r="M275" s="10">
        <v>538</v>
      </c>
      <c r="N275">
        <f t="shared" si="4"/>
        <v>538</v>
      </c>
      <c r="P2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Row],[orderNum]],ТабПозиции[orderSumm])&gt;1500),ABS(N275*VLOOKUP(ТабПозиции[[#This Row],[orderNum]],ТабЗаказы[#Data],MATCH("Percent",ТабЗаказы[#Headers],0),0))/100,200/COUNTIF(ТабПозиции[orderNum],ТабПозиции[[#This Row],[orderNum]])),0),"")</f>
        <v>81</v>
      </c>
      <c r="Q275">
        <f>IF(OR(ТабПозиции[[#This Row],[item]]="По штрихкоду",ТабПозиции[[#This Row],[item]]="Посылка"),ТабПозиции[[#This Row],[deliverySumm]]+ТабПозиции[[#This Row],[deliveryPost]],SUM(N275:P275))</f>
        <v>619</v>
      </c>
      <c r="R275" s="41">
        <v>619</v>
      </c>
      <c r="S275" s="46">
        <f>ТабПозиции[[#This Row],[totalSumm]]-ТабПозиции[[#This Row],[payment]]</f>
        <v>0</v>
      </c>
      <c r="T275" s="18" t="s">
        <v>580</v>
      </c>
      <c r="U275" s="40" t="s">
        <v>545</v>
      </c>
      <c r="V275" s="40" t="s">
        <v>545</v>
      </c>
      <c r="W275" s="40" t="s">
        <v>545</v>
      </c>
      <c r="X275" s="3"/>
      <c r="Y275"/>
    </row>
    <row r="276" spans="1:25" hidden="1" x14ac:dyDescent="0.25">
      <c r="A276" s="10">
        <v>80</v>
      </c>
      <c r="B276" s="1">
        <f>IFERROR(VLOOKUP(ТабПозиции[[#This Row],[orderNum]],ТабЗаказы[#Data],MATCH(B$7,ТабЗаказы[#Headers],0),0),"")</f>
        <v>45412</v>
      </c>
      <c r="C276" t="str">
        <f>MONTH(ТабПозиции[[#This Row],[date]])&amp;"/"&amp;YEAR(ТабПозиции[[#This Row],[date]])</f>
        <v>4/2024</v>
      </c>
      <c r="D276" s="1" t="str">
        <f>IFERROR(VLOOKUP(ТабПозиции[[#This Row],[orderNum]],ТабЗаказы[#Data],MATCH(D$7,ТабЗаказы[#Headers],0),0),"")</f>
        <v/>
      </c>
      <c r="E276" s="1" t="str">
        <f>IFERROR(VLOOKUP(ТабПозиции[[#This Row],[orderNum]],ТабЗаказы[#Data],MATCH(E$7,ТабЗаказы[#Headers],0),0),"")</f>
        <v/>
      </c>
      <c r="F276" s="16" t="s">
        <v>794</v>
      </c>
      <c r="G276" s="40" t="s">
        <v>545</v>
      </c>
      <c r="I276" s="18">
        <v>45438</v>
      </c>
      <c r="J276" s="10">
        <v>1</v>
      </c>
      <c r="K276" s="10">
        <v>804</v>
      </c>
      <c r="L276">
        <v>804</v>
      </c>
      <c r="M276" s="10">
        <v>806</v>
      </c>
      <c r="N276">
        <f t="shared" si="4"/>
        <v>806</v>
      </c>
      <c r="P2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Row],[orderNum]],ТабПозиции[orderSumm])&gt;1500),ABS(N276*VLOOKUP(ТабПозиции[[#This Row],[orderNum]],ТабЗаказы[#Data],MATCH("Percent",ТабЗаказы[#Headers],0),0))/100,200/COUNTIF(ТабПозиции[orderNum],ТабПозиции[[#This Row],[orderNum]])),0),"")</f>
        <v>121</v>
      </c>
      <c r="Q276">
        <f>IF(OR(ТабПозиции[[#This Row],[item]]="По штрихкоду",ТабПозиции[[#This Row],[item]]="Посылка"),ТабПозиции[[#This Row],[deliverySumm]]+ТабПозиции[[#This Row],[deliveryPost]],SUM(N276:P276))</f>
        <v>927</v>
      </c>
      <c r="R276" s="41">
        <v>927</v>
      </c>
      <c r="S276" s="46">
        <f>ТабПозиции[[#This Row],[totalSumm]]-ТабПозиции[[#This Row],[payment]]</f>
        <v>0</v>
      </c>
      <c r="T276" s="18" t="s">
        <v>580</v>
      </c>
      <c r="U276" s="40" t="s">
        <v>545</v>
      </c>
      <c r="V276" s="40" t="s">
        <v>545</v>
      </c>
      <c r="W276" s="40" t="s">
        <v>545</v>
      </c>
      <c r="X276" s="3"/>
      <c r="Y276"/>
    </row>
    <row r="277" spans="1:25" hidden="1" x14ac:dyDescent="0.25">
      <c r="A277" s="10">
        <v>81</v>
      </c>
      <c r="B277" s="1">
        <f>IFERROR(VLOOKUP(ТабПозиции[[#This Row],[orderNum]],ТабЗаказы[#Data],MATCH(B$7,ТабЗаказы[#Headers],0),0),"")</f>
        <v>45415</v>
      </c>
      <c r="C277" t="str">
        <f>MONTH(ТабПозиции[[#This Row],[date]])&amp;"/"&amp;YEAR(ТабПозиции[[#This Row],[date]])</f>
        <v>5/2024</v>
      </c>
      <c r="D277" s="1" t="str">
        <f>IFERROR(VLOOKUP(ТабПозиции[[#This Row],[orderNum]],ТабЗаказы[#Data],MATCH(D$7,ТабЗаказы[#Headers],0),0),"")</f>
        <v/>
      </c>
      <c r="E277" s="1" t="str">
        <f>IFERROR(VLOOKUP(ТабПозиции[[#This Row],[orderNum]],ТабЗаказы[#Data],MATCH(E$7,ТабЗаказы[#Headers],0),0),"")</f>
        <v/>
      </c>
      <c r="F277" s="19" t="s">
        <v>795</v>
      </c>
      <c r="G277" s="40" t="s">
        <v>545</v>
      </c>
      <c r="I277" s="18">
        <v>45417</v>
      </c>
      <c r="J277" s="10">
        <v>1</v>
      </c>
      <c r="K277" s="10">
        <v>5121</v>
      </c>
      <c r="L277">
        <v>5121</v>
      </c>
      <c r="M277" s="10">
        <v>5335</v>
      </c>
      <c r="N277">
        <f t="shared" si="4"/>
        <v>5335</v>
      </c>
      <c r="P2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Row],[orderNum]],ТабПозиции[orderSumm])&gt;1500),ABS(N277*VLOOKUP(ТабПозиции[[#This Row],[orderNum]],ТабЗаказы[#Data],MATCH("Percent",ТабЗаказы[#Headers],0),0))/100,200/COUNTIF(ТабПозиции[orderNum],ТабПозиции[[#This Row],[orderNum]])),0),"")</f>
        <v>800</v>
      </c>
      <c r="Q277">
        <f>IF(OR(ТабПозиции[[#This Row],[item]]="По штрихкоду",ТабПозиции[[#This Row],[item]]="Посылка"),ТабПозиции[[#This Row],[deliverySumm]]+ТабПозиции[[#This Row],[deliveryPost]],SUM(N277:P277))</f>
        <v>6135</v>
      </c>
      <c r="R277" s="41">
        <v>6135</v>
      </c>
      <c r="S277" s="46">
        <f>ТабПозиции[[#This Row],[totalSumm]]-ТабПозиции[[#This Row],[payment]]</f>
        <v>0</v>
      </c>
      <c r="T277" s="18" t="s">
        <v>563</v>
      </c>
      <c r="U277" s="40" t="s">
        <v>545</v>
      </c>
      <c r="V277" s="40" t="s">
        <v>545</v>
      </c>
      <c r="W277" s="40" t="s">
        <v>545</v>
      </c>
      <c r="X277" s="3"/>
      <c r="Y277"/>
    </row>
    <row r="278" spans="1:25" hidden="1" x14ac:dyDescent="0.25">
      <c r="A278" s="10">
        <v>81</v>
      </c>
      <c r="B278" s="1">
        <f>IFERROR(VLOOKUP(ТабПозиции[[#This Row],[orderNum]],ТабЗаказы[#Data],MATCH(B$7,ТабЗаказы[#Headers],0),0),"")</f>
        <v>45415</v>
      </c>
      <c r="C278" t="str">
        <f>MONTH(ТабПозиции[[#This Row],[date]])&amp;"/"&amp;YEAR(ТабПозиции[[#This Row],[date]])</f>
        <v>5/2024</v>
      </c>
      <c r="D278" s="1" t="str">
        <f>IFERROR(VLOOKUP(ТабПозиции[[#This Row],[orderNum]],ТабЗаказы[#Data],MATCH(D$7,ТабЗаказы[#Headers],0),0),"")</f>
        <v/>
      </c>
      <c r="E278" s="1" t="str">
        <f>IFERROR(VLOOKUP(ТабПозиции[[#This Row],[orderNum]],ТабЗаказы[#Data],MATCH(E$7,ТабЗаказы[#Headers],0),0),"")</f>
        <v/>
      </c>
      <c r="F278" s="19" t="s">
        <v>796</v>
      </c>
      <c r="G278" s="40" t="s">
        <v>545</v>
      </c>
      <c r="I278" s="18">
        <v>45422</v>
      </c>
      <c r="J278" s="10">
        <v>1</v>
      </c>
      <c r="K278" s="10">
        <v>344</v>
      </c>
      <c r="L278">
        <v>344</v>
      </c>
      <c r="M278" s="10">
        <v>359</v>
      </c>
      <c r="N278">
        <f t="shared" si="4"/>
        <v>359</v>
      </c>
      <c r="P2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Row],[orderNum]],ТабПозиции[orderSumm])&gt;1500),ABS(N278*VLOOKUP(ТабПозиции[[#This Row],[orderNum]],ТабЗаказы[#Data],MATCH("Percent",ТабЗаказы[#Headers],0),0))/100,200/COUNTIF(ТабПозиции[orderNum],ТабПозиции[[#This Row],[orderNum]])),0),"")</f>
        <v>54</v>
      </c>
      <c r="Q278">
        <f>IF(OR(ТабПозиции[[#This Row],[item]]="По штрихкоду",ТабПозиции[[#This Row],[item]]="Посылка"),ТабПозиции[[#This Row],[deliverySumm]]+ТабПозиции[[#This Row],[deliveryPost]],SUM(N278:P278))</f>
        <v>413</v>
      </c>
      <c r="R278" s="41">
        <v>413</v>
      </c>
      <c r="S278" s="46">
        <f>ТабПозиции[[#This Row],[totalSumm]]-ТабПозиции[[#This Row],[payment]]</f>
        <v>0</v>
      </c>
      <c r="T278" s="18" t="s">
        <v>563</v>
      </c>
      <c r="U278" s="40" t="s">
        <v>545</v>
      </c>
      <c r="V278" s="40" t="s">
        <v>545</v>
      </c>
      <c r="W278" s="40" t="s">
        <v>545</v>
      </c>
      <c r="X278" s="3"/>
      <c r="Y278"/>
    </row>
    <row r="279" spans="1:25" hidden="1" x14ac:dyDescent="0.25">
      <c r="A279" s="10">
        <v>81</v>
      </c>
      <c r="B279" s="1">
        <f>IFERROR(VLOOKUP(ТабПозиции[[#This Row],[orderNum]],ТабЗаказы[#Data],MATCH(B$7,ТабЗаказы[#Headers],0),0),"")</f>
        <v>45415</v>
      </c>
      <c r="C279" t="str">
        <f>MONTH(ТабПозиции[[#This Row],[date]])&amp;"/"&amp;YEAR(ТабПозиции[[#This Row],[date]])</f>
        <v>5/2024</v>
      </c>
      <c r="D279" s="1" t="str">
        <f>IFERROR(VLOOKUP(ТабПозиции[[#This Row],[orderNum]],ТабЗаказы[#Data],MATCH(D$7,ТабЗаказы[#Headers],0),0),"")</f>
        <v/>
      </c>
      <c r="E279" s="1" t="str">
        <f>IFERROR(VLOOKUP(ТабПозиции[[#This Row],[orderNum]],ТабЗаказы[#Data],MATCH(E$7,ТабЗаказы[#Headers],0),0),"")</f>
        <v/>
      </c>
      <c r="F279" s="19" t="s">
        <v>797</v>
      </c>
      <c r="G279" s="40" t="s">
        <v>545</v>
      </c>
      <c r="I279" s="18">
        <v>45419</v>
      </c>
      <c r="J279" s="10">
        <v>1</v>
      </c>
      <c r="K279" s="10">
        <v>432</v>
      </c>
      <c r="L279">
        <v>432</v>
      </c>
      <c r="M279" s="10">
        <v>451</v>
      </c>
      <c r="N279">
        <f t="shared" si="4"/>
        <v>451</v>
      </c>
      <c r="P2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Row],[orderNum]],ТабПозиции[orderSumm])&gt;1500),ABS(N279*VLOOKUP(ТабПозиции[[#This Row],[orderNum]],ТабЗаказы[#Data],MATCH("Percent",ТабЗаказы[#Headers],0),0))/100,200/COUNTIF(ТабПозиции[orderNum],ТабПозиции[[#This Row],[orderNum]])),0),"")</f>
        <v>68</v>
      </c>
      <c r="Q279">
        <f>IF(OR(ТабПозиции[[#This Row],[item]]="По штрихкоду",ТабПозиции[[#This Row],[item]]="Посылка"),ТабПозиции[[#This Row],[deliverySumm]]+ТабПозиции[[#This Row],[deliveryPost]],SUM(N279:P279))</f>
        <v>519</v>
      </c>
      <c r="R279" s="41">
        <v>519</v>
      </c>
      <c r="S279" s="46">
        <f>ТабПозиции[[#This Row],[totalSumm]]-ТабПозиции[[#This Row],[payment]]</f>
        <v>0</v>
      </c>
      <c r="T279" s="18" t="s">
        <v>563</v>
      </c>
      <c r="U279" s="40" t="s">
        <v>545</v>
      </c>
      <c r="V279" s="40" t="s">
        <v>545</v>
      </c>
      <c r="W279" s="40" t="s">
        <v>545</v>
      </c>
      <c r="X279" s="3"/>
      <c r="Y279"/>
    </row>
    <row r="280" spans="1:25" hidden="1" x14ac:dyDescent="0.25">
      <c r="A280" s="10">
        <v>81</v>
      </c>
      <c r="B280" s="1">
        <f>IFERROR(VLOOKUP(ТабПозиции[[#This Row],[orderNum]],ТабЗаказы[#Data],MATCH(B$7,ТабЗаказы[#Headers],0),0),"")</f>
        <v>45415</v>
      </c>
      <c r="C280" t="str">
        <f>MONTH(ТабПозиции[[#This Row],[date]])&amp;"/"&amp;YEAR(ТабПозиции[[#This Row],[date]])</f>
        <v>5/2024</v>
      </c>
      <c r="D280" s="1" t="str">
        <f>IFERROR(VLOOKUP(ТабПозиции[[#This Row],[orderNum]],ТабЗаказы[#Data],MATCH(D$7,ТабЗаказы[#Headers],0),0),"")</f>
        <v/>
      </c>
      <c r="E280" s="1" t="str">
        <f>IFERROR(VLOOKUP(ТабПозиции[[#This Row],[orderNum]],ТабЗаказы[#Data],MATCH(E$7,ТабЗаказы[#Headers],0),0),"")</f>
        <v/>
      </c>
      <c r="F280" s="19" t="s">
        <v>798</v>
      </c>
      <c r="G280" s="40" t="s">
        <v>545</v>
      </c>
      <c r="I280" s="18">
        <v>45417</v>
      </c>
      <c r="J280" s="10">
        <v>1</v>
      </c>
      <c r="K280" s="10">
        <v>1530</v>
      </c>
      <c r="L280">
        <v>1530</v>
      </c>
      <c r="M280" s="10">
        <v>1594</v>
      </c>
      <c r="N280">
        <f t="shared" si="4"/>
        <v>1594</v>
      </c>
      <c r="P2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Row],[orderNum]],ТабПозиции[orderSumm])&gt;1500),ABS(N280*VLOOKUP(ТабПозиции[[#This Row],[orderNum]],ТабЗаказы[#Data],MATCH("Percent",ТабЗаказы[#Headers],0),0))/100,200/COUNTIF(ТабПозиции[orderNum],ТабПозиции[[#This Row],[orderNum]])),0),"")</f>
        <v>239</v>
      </c>
      <c r="Q280">
        <f>IF(OR(ТабПозиции[[#This Row],[item]]="По штрихкоду",ТабПозиции[[#This Row],[item]]="Посылка"),ТабПозиции[[#This Row],[deliverySumm]]+ТабПозиции[[#This Row],[deliveryPost]],SUM(N280:P280))</f>
        <v>1833</v>
      </c>
      <c r="R280" s="41">
        <v>1833</v>
      </c>
      <c r="S280" s="46">
        <f>ТабПозиции[[#This Row],[totalSumm]]-ТабПозиции[[#This Row],[payment]]</f>
        <v>0</v>
      </c>
      <c r="T280" s="18" t="s">
        <v>563</v>
      </c>
      <c r="U280" s="40" t="s">
        <v>545</v>
      </c>
      <c r="V280" s="40" t="s">
        <v>545</v>
      </c>
      <c r="W280" s="40" t="s">
        <v>545</v>
      </c>
      <c r="X280" s="3"/>
      <c r="Y280"/>
    </row>
    <row r="281" spans="1:25" hidden="1" x14ac:dyDescent="0.25">
      <c r="A281" s="10">
        <v>82</v>
      </c>
      <c r="B281" s="1">
        <f>IFERROR(VLOOKUP(ТабПозиции[[#This Row],[orderNum]],ТабЗаказы[#Data],MATCH(B$7,ТабЗаказы[#Headers],0),0),"")</f>
        <v>45415</v>
      </c>
      <c r="C281" t="str">
        <f>MONTH(ТабПозиции[[#This Row],[date]])&amp;"/"&amp;YEAR(ТабПозиции[[#This Row],[date]])</f>
        <v>5/2024</v>
      </c>
      <c r="D281" s="1" t="str">
        <f>IFERROR(VLOOKUP(ТабПозиции[[#This Row],[orderNum]],ТабЗаказы[#Data],MATCH(D$7,ТабЗаказы[#Headers],0),0),"")</f>
        <v/>
      </c>
      <c r="E281" s="1" t="str">
        <f>IFERROR(VLOOKUP(ТабПозиции[[#This Row],[orderNum]],ТабЗаказы[#Data],MATCH(E$7,ТабЗаказы[#Headers],0),0),"")</f>
        <v/>
      </c>
      <c r="F281" s="16" t="s">
        <v>799</v>
      </c>
      <c r="G281" s="40" t="s">
        <v>545</v>
      </c>
      <c r="I281" s="18">
        <v>45417</v>
      </c>
      <c r="J281" s="10">
        <v>1</v>
      </c>
      <c r="K281" s="10">
        <v>453</v>
      </c>
      <c r="L281">
        <v>453</v>
      </c>
      <c r="M281" s="10">
        <v>472</v>
      </c>
      <c r="N281">
        <f t="shared" si="4"/>
        <v>472</v>
      </c>
      <c r="P2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Row],[orderNum]],ТабПозиции[orderSumm])&gt;1500),ABS(N281*VLOOKUP(ТабПозиции[[#This Row],[orderNum]],ТабЗаказы[#Data],MATCH("Percent",ТабЗаказы[#Headers],0),0))/100,200/COUNTIF(ТабПозиции[orderNum],ТабПозиции[[#This Row],[orderNum]])),0),"")</f>
        <v>71</v>
      </c>
      <c r="Q281">
        <f>IF(OR(ТабПозиции[[#This Row],[item]]="По штрихкоду",ТабПозиции[[#This Row],[item]]="Посылка"),ТабПозиции[[#This Row],[deliverySumm]]+ТабПозиции[[#This Row],[deliveryPost]],SUM(N281:P281))</f>
        <v>543</v>
      </c>
      <c r="R281" s="41">
        <v>543</v>
      </c>
      <c r="S281" s="46">
        <f>ТабПозиции[[#This Row],[totalSumm]]-ТабПозиции[[#This Row],[payment]]</f>
        <v>0</v>
      </c>
      <c r="T281" s="18" t="s">
        <v>563</v>
      </c>
      <c r="U281" s="40" t="s">
        <v>545</v>
      </c>
      <c r="V281" s="40" t="s">
        <v>545</v>
      </c>
      <c r="W281" s="40" t="s">
        <v>545</v>
      </c>
      <c r="X281" s="3"/>
      <c r="Y281"/>
    </row>
    <row r="282" spans="1:25" hidden="1" x14ac:dyDescent="0.25">
      <c r="A282" s="10">
        <v>82</v>
      </c>
      <c r="B282" s="1">
        <f>IFERROR(VLOOKUP(ТабПозиции[[#This Row],[orderNum]],ТабЗаказы[#Data],MATCH(B$7,ТабЗаказы[#Headers],0),0),"")</f>
        <v>45415</v>
      </c>
      <c r="C282" t="str">
        <f>MONTH(ТабПозиции[[#This Row],[date]])&amp;"/"&amp;YEAR(ТабПозиции[[#This Row],[date]])</f>
        <v>5/2024</v>
      </c>
      <c r="D282" s="1" t="str">
        <f>IFERROR(VLOOKUP(ТабПозиции[[#This Row],[orderNum]],ТабЗаказы[#Data],MATCH(D$7,ТабЗаказы[#Headers],0),0),"")</f>
        <v/>
      </c>
      <c r="E282" s="1" t="str">
        <f>IFERROR(VLOOKUP(ТабПозиции[[#This Row],[orderNum]],ТабЗаказы[#Data],MATCH(E$7,ТабЗаказы[#Headers],0),0),"")</f>
        <v/>
      </c>
      <c r="F282" s="16" t="s">
        <v>800</v>
      </c>
      <c r="G282" s="40" t="s">
        <v>545</v>
      </c>
      <c r="I282" s="18">
        <v>45417</v>
      </c>
      <c r="J282" s="10">
        <v>1</v>
      </c>
      <c r="K282" s="10">
        <v>364</v>
      </c>
      <c r="L282">
        <v>364</v>
      </c>
      <c r="M282" s="10">
        <v>380</v>
      </c>
      <c r="N282">
        <f t="shared" si="4"/>
        <v>380</v>
      </c>
      <c r="P2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Row],[orderNum]],ТабПозиции[orderSumm])&gt;1500),ABS(N282*VLOOKUP(ТабПозиции[[#This Row],[orderNum]],ТабЗаказы[#Data],MATCH("Percent",ТабЗаказы[#Headers],0),0))/100,200/COUNTIF(ТабПозиции[orderNum],ТабПозиции[[#This Row],[orderNum]])),0),"")</f>
        <v>57</v>
      </c>
      <c r="Q282">
        <f>IF(OR(ТабПозиции[[#This Row],[item]]="По штрихкоду",ТабПозиции[[#This Row],[item]]="Посылка"),ТабПозиции[[#This Row],[deliverySumm]]+ТабПозиции[[#This Row],[deliveryPost]],SUM(N282:P282))</f>
        <v>437</v>
      </c>
      <c r="R282" s="41">
        <v>437</v>
      </c>
      <c r="S282" s="46">
        <f>ТабПозиции[[#This Row],[totalSumm]]-ТабПозиции[[#This Row],[payment]]</f>
        <v>0</v>
      </c>
      <c r="T282" s="18" t="s">
        <v>563</v>
      </c>
      <c r="U282" s="40" t="s">
        <v>545</v>
      </c>
      <c r="V282" s="40" t="s">
        <v>545</v>
      </c>
      <c r="W282" s="40" t="s">
        <v>545</v>
      </c>
      <c r="X282" s="3"/>
      <c r="Y282"/>
    </row>
    <row r="283" spans="1:25" hidden="1" x14ac:dyDescent="0.25">
      <c r="A283" s="10">
        <v>82</v>
      </c>
      <c r="B283" s="1">
        <f>IFERROR(VLOOKUP(ТабПозиции[[#This Row],[orderNum]],ТабЗаказы[#Data],MATCH(B$7,ТабЗаказы[#Headers],0),0),"")</f>
        <v>45415</v>
      </c>
      <c r="C283" t="str">
        <f>MONTH(ТабПозиции[[#This Row],[date]])&amp;"/"&amp;YEAR(ТабПозиции[[#This Row],[date]])</f>
        <v>5/2024</v>
      </c>
      <c r="D283" s="1" t="str">
        <f>IFERROR(VLOOKUP(ТабПозиции[[#This Row],[orderNum]],ТабЗаказы[#Data],MATCH(D$7,ТабЗаказы[#Headers],0),0),"")</f>
        <v/>
      </c>
      <c r="E283" s="1" t="str">
        <f>IFERROR(VLOOKUP(ТабПозиции[[#This Row],[orderNum]],ТабЗаказы[#Data],MATCH(E$7,ТабЗаказы[#Headers],0),0),"")</f>
        <v/>
      </c>
      <c r="F283" s="16" t="s">
        <v>801</v>
      </c>
      <c r="G283" s="40" t="s">
        <v>545</v>
      </c>
      <c r="I283" s="18">
        <v>45418</v>
      </c>
      <c r="J283" s="10">
        <v>1</v>
      </c>
      <c r="K283" s="10">
        <v>656</v>
      </c>
      <c r="L283">
        <v>656</v>
      </c>
      <c r="M283" s="10">
        <v>684</v>
      </c>
      <c r="N283">
        <f t="shared" si="4"/>
        <v>684</v>
      </c>
      <c r="P2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Row],[orderNum]],ТабПозиции[orderSumm])&gt;1500),ABS(N283*VLOOKUP(ТабПозиции[[#This Row],[orderNum]],ТабЗаказы[#Data],MATCH("Percent",ТабЗаказы[#Headers],0),0))/100,200/COUNTIF(ТабПозиции[orderNum],ТабПозиции[[#This Row],[orderNum]])),0),"")</f>
        <v>103</v>
      </c>
      <c r="Q283">
        <f>IF(OR(ТабПозиции[[#This Row],[item]]="По штрихкоду",ТабПозиции[[#This Row],[item]]="Посылка"),ТабПозиции[[#This Row],[deliverySumm]]+ТабПозиции[[#This Row],[deliveryPost]],SUM(N283:P283))</f>
        <v>787</v>
      </c>
      <c r="R283" s="41">
        <v>787</v>
      </c>
      <c r="S283" s="46">
        <f>ТабПозиции[[#This Row],[totalSumm]]-ТабПозиции[[#This Row],[payment]]</f>
        <v>0</v>
      </c>
      <c r="T283" s="18" t="s">
        <v>563</v>
      </c>
      <c r="U283" s="40" t="s">
        <v>545</v>
      </c>
      <c r="V283" s="40" t="s">
        <v>545</v>
      </c>
      <c r="W283" s="48" t="s">
        <v>545</v>
      </c>
      <c r="X283" s="3"/>
      <c r="Y283"/>
    </row>
    <row r="284" spans="1:25" hidden="1" x14ac:dyDescent="0.25">
      <c r="A284" s="10">
        <v>82</v>
      </c>
      <c r="B284" s="1">
        <f>IFERROR(VLOOKUP(ТабПозиции[[#This Row],[orderNum]],ТабЗаказы[#Data],MATCH(B$7,ТабЗаказы[#Headers],0),0),"")</f>
        <v>45415</v>
      </c>
      <c r="C284" t="str">
        <f>MONTH(ТабПозиции[[#This Row],[date]])&amp;"/"&amp;YEAR(ТабПозиции[[#This Row],[date]])</f>
        <v>5/2024</v>
      </c>
      <c r="D284" s="1" t="str">
        <f>IFERROR(VLOOKUP(ТабПозиции[[#This Row],[orderNum]],ТабЗаказы[#Data],MATCH(D$7,ТабЗаказы[#Headers],0),0),"")</f>
        <v/>
      </c>
      <c r="E284" s="1" t="str">
        <f>IFERROR(VLOOKUP(ТабПозиции[[#This Row],[orderNum]],ТабЗаказы[#Data],MATCH(E$7,ТабЗаказы[#Headers],0),0),"")</f>
        <v/>
      </c>
      <c r="F284" s="16" t="s">
        <v>802</v>
      </c>
      <c r="G284" s="40" t="s">
        <v>545</v>
      </c>
      <c r="I284" s="18">
        <v>45417</v>
      </c>
      <c r="J284" s="10">
        <v>1</v>
      </c>
      <c r="K284" s="10">
        <v>961</v>
      </c>
      <c r="L284">
        <v>961</v>
      </c>
      <c r="M284" s="10">
        <v>1002</v>
      </c>
      <c r="N284">
        <f t="shared" si="4"/>
        <v>1002</v>
      </c>
      <c r="P2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Row],[orderNum]],ТабПозиции[orderSumm])&gt;1500),ABS(N284*VLOOKUP(ТабПозиции[[#This Row],[orderNum]],ТабЗаказы[#Data],MATCH("Percent",ТабЗаказы[#Headers],0),0))/100,200/COUNTIF(ТабПозиции[orderNum],ТабПозиции[[#This Row],[orderNum]])),0),"")</f>
        <v>150</v>
      </c>
      <c r="Q284">
        <f>IF(OR(ТабПозиции[[#This Row],[item]]="По штрихкоду",ТабПозиции[[#This Row],[item]]="Посылка"),ТабПозиции[[#This Row],[deliverySumm]]+ТабПозиции[[#This Row],[deliveryPost]],SUM(N284:P284))</f>
        <v>1152</v>
      </c>
      <c r="R284" s="41">
        <v>1152</v>
      </c>
      <c r="S284" s="46">
        <f>ТабПозиции[[#This Row],[totalSumm]]-ТабПозиции[[#This Row],[payment]]</f>
        <v>0</v>
      </c>
      <c r="T284" s="18" t="s">
        <v>563</v>
      </c>
      <c r="U284" s="40" t="s">
        <v>545</v>
      </c>
      <c r="V284" s="40" t="s">
        <v>545</v>
      </c>
      <c r="W284" s="40" t="s">
        <v>545</v>
      </c>
      <c r="X284" s="3"/>
      <c r="Y284"/>
    </row>
    <row r="285" spans="1:25" hidden="1" x14ac:dyDescent="0.25">
      <c r="A285" s="10">
        <v>82</v>
      </c>
      <c r="B285" s="1">
        <f>IFERROR(VLOOKUP(ТабПозиции[[#This Row],[orderNum]],ТабЗаказы[#Data],MATCH(B$7,ТабЗаказы[#Headers],0),0),"")</f>
        <v>45415</v>
      </c>
      <c r="C285" t="str">
        <f>MONTH(ТабПозиции[[#This Row],[date]])&amp;"/"&amp;YEAR(ТабПозиции[[#This Row],[date]])</f>
        <v>5/2024</v>
      </c>
      <c r="D285" s="1" t="str">
        <f>IFERROR(VLOOKUP(ТабПозиции[[#This Row],[orderNum]],ТабЗаказы[#Data],MATCH(D$7,ТабЗаказы[#Headers],0),0),"")</f>
        <v/>
      </c>
      <c r="E285" s="1" t="str">
        <f>IFERROR(VLOOKUP(ТабПозиции[[#This Row],[orderNum]],ТабЗаказы[#Data],MATCH(E$7,ТабЗаказы[#Headers],0),0),"")</f>
        <v/>
      </c>
      <c r="F285" s="16" t="s">
        <v>803</v>
      </c>
      <c r="G285" s="40" t="s">
        <v>545</v>
      </c>
      <c r="I285" s="18">
        <v>45417</v>
      </c>
      <c r="J285" s="10">
        <v>1</v>
      </c>
      <c r="K285" s="10">
        <v>432</v>
      </c>
      <c r="L285">
        <v>432</v>
      </c>
      <c r="M285" s="10">
        <v>451</v>
      </c>
      <c r="N285">
        <f t="shared" si="4"/>
        <v>451</v>
      </c>
      <c r="P2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Row],[orderNum]],ТабПозиции[orderSumm])&gt;1500),ABS(N285*VLOOKUP(ТабПозиции[[#This Row],[orderNum]],ТабЗаказы[#Data],MATCH("Percent",ТабЗаказы[#Headers],0),0))/100,200/COUNTIF(ТабПозиции[orderNum],ТабПозиции[[#This Row],[orderNum]])),0),"")</f>
        <v>68</v>
      </c>
      <c r="Q285">
        <f>IF(OR(ТабПозиции[[#This Row],[item]]="По штрихкоду",ТабПозиции[[#This Row],[item]]="Посылка"),ТабПозиции[[#This Row],[deliverySumm]]+ТабПозиции[[#This Row],[deliveryPost]],SUM(N285:P285))</f>
        <v>519</v>
      </c>
      <c r="R285" s="41">
        <v>519</v>
      </c>
      <c r="S285" s="46">
        <f>ТабПозиции[[#This Row],[totalSumm]]-ТабПозиции[[#This Row],[payment]]</f>
        <v>0</v>
      </c>
      <c r="T285" s="18" t="s">
        <v>563</v>
      </c>
      <c r="U285" s="40" t="s">
        <v>545</v>
      </c>
      <c r="V285" s="40" t="s">
        <v>545</v>
      </c>
      <c r="W285" s="40" t="s">
        <v>545</v>
      </c>
      <c r="X285" s="3"/>
      <c r="Y285"/>
    </row>
    <row r="286" spans="1:25" hidden="1" x14ac:dyDescent="0.25">
      <c r="A286" s="10">
        <v>83</v>
      </c>
      <c r="B286" s="1">
        <f>IFERROR(VLOOKUP(ТабПозиции[[#This Row],[orderNum]],ТабЗаказы[#Data],MATCH(B$7,ТабЗаказы[#Headers],0),0),"")</f>
        <v>45415</v>
      </c>
      <c r="C286" t="str">
        <f>MONTH(ТабПозиции[[#This Row],[date]])&amp;"/"&amp;YEAR(ТабПозиции[[#This Row],[date]])</f>
        <v>5/2024</v>
      </c>
      <c r="D286" s="1" t="str">
        <f>IFERROR(VLOOKUP(ТабПозиции[[#This Row],[orderNum]],ТабЗаказы[#Data],MATCH(D$7,ТабЗаказы[#Headers],0),0),"")</f>
        <v/>
      </c>
      <c r="E286" s="1" t="str">
        <f>IFERROR(VLOOKUP(ТабПозиции[[#This Row],[orderNum]],ТабЗаказы[#Data],MATCH(E$7,ТабЗаказы[#Headers],0),0),"")</f>
        <v/>
      </c>
      <c r="F286" s="16" t="s">
        <v>804</v>
      </c>
      <c r="G286" s="40" t="s">
        <v>545</v>
      </c>
      <c r="I286" s="18">
        <v>45418</v>
      </c>
      <c r="J286" s="10">
        <v>1</v>
      </c>
      <c r="K286" s="10">
        <v>459</v>
      </c>
      <c r="L286">
        <v>459</v>
      </c>
      <c r="M286" s="10">
        <v>479</v>
      </c>
      <c r="N286">
        <f t="shared" si="4"/>
        <v>479</v>
      </c>
      <c r="P2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Row],[orderNum]],ТабПозиции[orderSumm])&gt;1500),ABS(N286*VLOOKUP(ТабПозиции[[#This Row],[orderNum]],ТабЗаказы[#Data],MATCH("Percent",ТабЗаказы[#Headers],0),0))/100,200/COUNTIF(ТабПозиции[orderNum],ТабПозиции[[#This Row],[orderNum]])),0),"")</f>
        <v>48</v>
      </c>
      <c r="Q286">
        <f>IF(OR(ТабПозиции[[#This Row],[item]]="По штрихкоду",ТабПозиции[[#This Row],[item]]="Посылка"),ТабПозиции[[#This Row],[deliverySumm]]+ТабПозиции[[#This Row],[deliveryPost]],SUM(N286:P286))</f>
        <v>527</v>
      </c>
      <c r="R286" s="41">
        <v>527</v>
      </c>
      <c r="S286" s="46">
        <f>ТабПозиции[[#This Row],[totalSumm]]-ТабПозиции[[#This Row],[payment]]</f>
        <v>0</v>
      </c>
      <c r="T286" s="18" t="s">
        <v>563</v>
      </c>
      <c r="U286" s="40" t="s">
        <v>545</v>
      </c>
      <c r="V286" s="40" t="s">
        <v>545</v>
      </c>
      <c r="W286" s="40" t="s">
        <v>545</v>
      </c>
      <c r="X286" s="3"/>
      <c r="Y286"/>
    </row>
    <row r="287" spans="1:25" hidden="1" x14ac:dyDescent="0.25">
      <c r="A287" s="10">
        <v>83</v>
      </c>
      <c r="B287" s="1">
        <f>IFERROR(VLOOKUP(ТабПозиции[[#This Row],[orderNum]],ТабЗаказы[#Data],MATCH(B$7,ТабЗаказы[#Headers],0),0),"")</f>
        <v>45415</v>
      </c>
      <c r="C287" t="str">
        <f>MONTH(ТабПозиции[[#This Row],[date]])&amp;"/"&amp;YEAR(ТабПозиции[[#This Row],[date]])</f>
        <v>5/2024</v>
      </c>
      <c r="D287" s="1" t="str">
        <f>IFERROR(VLOOKUP(ТабПозиции[[#This Row],[orderNum]],ТабЗаказы[#Data],MATCH(D$7,ТабЗаказы[#Headers],0),0),"")</f>
        <v/>
      </c>
      <c r="E287" s="1" t="str">
        <f>IFERROR(VLOOKUP(ТабПозиции[[#This Row],[orderNum]],ТабЗаказы[#Data],MATCH(E$7,ТабЗаказы[#Headers],0),0),"")</f>
        <v/>
      </c>
      <c r="F287" s="16" t="s">
        <v>805</v>
      </c>
      <c r="G287" s="40" t="s">
        <v>545</v>
      </c>
      <c r="I287" s="18">
        <v>45418</v>
      </c>
      <c r="J287" s="10">
        <v>1</v>
      </c>
      <c r="K287" s="10">
        <v>216</v>
      </c>
      <c r="L287">
        <v>216</v>
      </c>
      <c r="M287" s="10">
        <v>226</v>
      </c>
      <c r="N287">
        <f t="shared" si="4"/>
        <v>226</v>
      </c>
      <c r="P2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Row],[orderNum]],ТабПозиции[orderSumm])&gt;1500),ABS(N287*VLOOKUP(ТабПозиции[[#This Row],[orderNum]],ТабЗаказы[#Data],MATCH("Percent",ТабЗаказы[#Headers],0),0))/100,200/COUNTIF(ТабПозиции[orderNum],ТабПозиции[[#This Row],[orderNum]])),0),"")</f>
        <v>23</v>
      </c>
      <c r="Q287">
        <f>IF(OR(ТабПозиции[[#This Row],[item]]="По штрихкоду",ТабПозиции[[#This Row],[item]]="Посылка"),ТабПозиции[[#This Row],[deliverySumm]]+ТабПозиции[[#This Row],[deliveryPost]],SUM(N287:P287))</f>
        <v>249</v>
      </c>
      <c r="R287" s="41">
        <v>249</v>
      </c>
      <c r="S287" s="46">
        <f>ТабПозиции[[#This Row],[totalSumm]]-ТабПозиции[[#This Row],[payment]]</f>
        <v>0</v>
      </c>
      <c r="T287" s="18" t="s">
        <v>563</v>
      </c>
      <c r="U287" s="40" t="s">
        <v>545</v>
      </c>
      <c r="V287" s="40" t="s">
        <v>545</v>
      </c>
      <c r="W287" s="40" t="s">
        <v>545</v>
      </c>
      <c r="X287" s="3"/>
      <c r="Y287"/>
    </row>
    <row r="288" spans="1:25" hidden="1" x14ac:dyDescent="0.25">
      <c r="A288" s="10">
        <v>83</v>
      </c>
      <c r="B288" s="1">
        <f>IFERROR(VLOOKUP(ТабПозиции[[#This Row],[orderNum]],ТабЗаказы[#Data],MATCH(B$7,ТабЗаказы[#Headers],0),0),"")</f>
        <v>45415</v>
      </c>
      <c r="C288" t="str">
        <f>MONTH(ТабПозиции[[#This Row],[date]])&amp;"/"&amp;YEAR(ТабПозиции[[#This Row],[date]])</f>
        <v>5/2024</v>
      </c>
      <c r="D288" s="1" t="str">
        <f>IFERROR(VLOOKUP(ТабПозиции[[#This Row],[orderNum]],ТабЗаказы[#Data],MATCH(D$7,ТабЗаказы[#Headers],0),0),"")</f>
        <v/>
      </c>
      <c r="E288" s="1" t="str">
        <f>IFERROR(VLOOKUP(ТабПозиции[[#This Row],[orderNum]],ТабЗаказы[#Data],MATCH(E$7,ТабЗаказы[#Headers],0),0),"")</f>
        <v/>
      </c>
      <c r="F288" s="16" t="s">
        <v>806</v>
      </c>
      <c r="G288" s="40" t="s">
        <v>545</v>
      </c>
      <c r="I288" s="18">
        <v>45417</v>
      </c>
      <c r="J288" s="10">
        <v>1</v>
      </c>
      <c r="K288" s="10">
        <v>191</v>
      </c>
      <c r="L288">
        <v>191</v>
      </c>
      <c r="M288" s="10">
        <v>199</v>
      </c>
      <c r="N288">
        <f t="shared" si="4"/>
        <v>199</v>
      </c>
      <c r="P2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Row],[orderNum]],ТабПозиции[orderSumm])&gt;1500),ABS(N288*VLOOKUP(ТабПозиции[[#This Row],[orderNum]],ТабЗаказы[#Data],MATCH("Percent",ТабЗаказы[#Headers],0),0))/100,200/COUNTIF(ТабПозиции[orderNum],ТабПозиции[[#This Row],[orderNum]])),0),"")</f>
        <v>20</v>
      </c>
      <c r="Q288">
        <f>IF(OR(ТабПозиции[[#This Row],[item]]="По штрихкоду",ТабПозиции[[#This Row],[item]]="Посылка"),ТабПозиции[[#This Row],[deliverySumm]]+ТабПозиции[[#This Row],[deliveryPost]],SUM(N288:P288))</f>
        <v>219</v>
      </c>
      <c r="R288" s="41">
        <v>219</v>
      </c>
      <c r="S288" s="46">
        <f>ТабПозиции[[#This Row],[totalSumm]]-ТабПозиции[[#This Row],[payment]]</f>
        <v>0</v>
      </c>
      <c r="T288" s="18" t="s">
        <v>563</v>
      </c>
      <c r="U288" s="40" t="s">
        <v>545</v>
      </c>
      <c r="V288" s="40" t="s">
        <v>545</v>
      </c>
      <c r="W288" s="40" t="s">
        <v>545</v>
      </c>
      <c r="X288" s="3"/>
      <c r="Y288"/>
    </row>
    <row r="289" spans="1:25" hidden="1" x14ac:dyDescent="0.25">
      <c r="A289" s="10">
        <v>83</v>
      </c>
      <c r="B289" s="1">
        <f>IFERROR(VLOOKUP(ТабПозиции[[#This Row],[orderNum]],ТабЗаказы[#Data],MATCH(B$7,ТабЗаказы[#Headers],0),0),"")</f>
        <v>45415</v>
      </c>
      <c r="C289" t="str">
        <f>MONTH(ТабПозиции[[#This Row],[date]])&amp;"/"&amp;YEAR(ТабПозиции[[#This Row],[date]])</f>
        <v>5/2024</v>
      </c>
      <c r="D289" s="1" t="str">
        <f>IFERROR(VLOOKUP(ТабПозиции[[#This Row],[orderNum]],ТабЗаказы[#Data],MATCH(D$7,ТабЗаказы[#Headers],0),0),"")</f>
        <v/>
      </c>
      <c r="E289" s="1" t="str">
        <f>IFERROR(VLOOKUP(ТабПозиции[[#This Row],[orderNum]],ТабЗаказы[#Data],MATCH(E$7,ТабЗаказы[#Headers],0),0),"")</f>
        <v/>
      </c>
      <c r="F289" s="16" t="s">
        <v>807</v>
      </c>
      <c r="G289" s="40" t="s">
        <v>545</v>
      </c>
      <c r="I289" s="18">
        <v>45417</v>
      </c>
      <c r="J289" s="10">
        <v>2</v>
      </c>
      <c r="K289" s="10">
        <v>339</v>
      </c>
      <c r="L289">
        <v>678</v>
      </c>
      <c r="M289" s="10">
        <v>354</v>
      </c>
      <c r="N289">
        <f t="shared" si="4"/>
        <v>708</v>
      </c>
      <c r="P2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Row],[orderNum]],ТабПозиции[orderSumm])&gt;1500),ABS(N289*VLOOKUP(ТабПозиции[[#This Row],[orderNum]],ТабЗаказы[#Data],MATCH("Percent",ТабЗаказы[#Headers],0),0))/100,200/COUNTIF(ТабПозиции[orderNum],ТабПозиции[[#This Row],[orderNum]])),0),"")</f>
        <v>71</v>
      </c>
      <c r="Q289">
        <f>IF(OR(ТабПозиции[[#This Row],[item]]="По штрихкоду",ТабПозиции[[#This Row],[item]]="Посылка"),ТабПозиции[[#This Row],[deliverySumm]]+ТабПозиции[[#This Row],[deliveryPost]],SUM(N289:P289))</f>
        <v>779</v>
      </c>
      <c r="R289" s="41">
        <v>779</v>
      </c>
      <c r="S289" s="46">
        <f>ТабПозиции[[#This Row],[totalSumm]]-ТабПозиции[[#This Row],[payment]]</f>
        <v>0</v>
      </c>
      <c r="T289" s="18" t="s">
        <v>563</v>
      </c>
      <c r="U289" s="40" t="s">
        <v>545</v>
      </c>
      <c r="V289" s="40" t="s">
        <v>545</v>
      </c>
      <c r="W289" s="40" t="s">
        <v>545</v>
      </c>
      <c r="X289" s="3"/>
      <c r="Y289"/>
    </row>
    <row r="290" spans="1:25" hidden="1" x14ac:dyDescent="0.25">
      <c r="A290" s="10">
        <v>83</v>
      </c>
      <c r="B290" s="1">
        <f>IFERROR(VLOOKUP(ТабПозиции[[#This Row],[orderNum]],ТабЗаказы[#Data],MATCH(B$7,ТабЗаказы[#Headers],0),0),"")</f>
        <v>45415</v>
      </c>
      <c r="C290" t="str">
        <f>MONTH(ТабПозиции[[#This Row],[date]])&amp;"/"&amp;YEAR(ТабПозиции[[#This Row],[date]])</f>
        <v>5/2024</v>
      </c>
      <c r="D290" s="1" t="str">
        <f>IFERROR(VLOOKUP(ТабПозиции[[#This Row],[orderNum]],ТабЗаказы[#Data],MATCH(D$7,ТабЗаказы[#Headers],0),0),"")</f>
        <v/>
      </c>
      <c r="E290" s="1" t="str">
        <f>IFERROR(VLOOKUP(ТабПозиции[[#This Row],[orderNum]],ТабЗаказы[#Data],MATCH(E$7,ТабЗаказы[#Headers],0),0),"")</f>
        <v/>
      </c>
      <c r="F290" s="16" t="s">
        <v>808</v>
      </c>
      <c r="G290" s="40" t="s">
        <v>545</v>
      </c>
      <c r="I290" s="18">
        <v>45418</v>
      </c>
      <c r="J290" s="10">
        <v>1</v>
      </c>
      <c r="K290" s="10">
        <v>554</v>
      </c>
      <c r="L290">
        <v>554</v>
      </c>
      <c r="M290" s="10">
        <v>578</v>
      </c>
      <c r="N290">
        <f t="shared" si="4"/>
        <v>578</v>
      </c>
      <c r="P2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Row],[orderNum]],ТабПозиции[orderSumm])&gt;1500),ABS(N290*VLOOKUP(ТабПозиции[[#This Row],[orderNum]],ТабЗаказы[#Data],MATCH("Percent",ТабЗаказы[#Headers],0),0))/100,200/COUNTIF(ТабПозиции[orderNum],ТабПозиции[[#This Row],[orderNum]])),0),"")</f>
        <v>58</v>
      </c>
      <c r="Q290">
        <f>IF(OR(ТабПозиции[[#This Row],[item]]="По штрихкоду",ТабПозиции[[#This Row],[item]]="Посылка"),ТабПозиции[[#This Row],[deliverySumm]]+ТабПозиции[[#This Row],[deliveryPost]],SUM(N290:P290))</f>
        <v>636</v>
      </c>
      <c r="R290" s="41">
        <v>636</v>
      </c>
      <c r="S290" s="46">
        <f>ТабПозиции[[#This Row],[totalSumm]]-ТабПозиции[[#This Row],[payment]]</f>
        <v>0</v>
      </c>
      <c r="T290" s="18" t="s">
        <v>563</v>
      </c>
      <c r="U290" s="40" t="s">
        <v>545</v>
      </c>
      <c r="V290" s="40" t="s">
        <v>545</v>
      </c>
      <c r="W290" s="40" t="s">
        <v>545</v>
      </c>
      <c r="X290" s="3"/>
      <c r="Y290"/>
    </row>
    <row r="291" spans="1:25" hidden="1" x14ac:dyDescent="0.25">
      <c r="A291" s="10">
        <v>83</v>
      </c>
      <c r="B291" s="1">
        <f>IFERROR(VLOOKUP(ТабПозиции[[#This Row],[orderNum]],ТабЗаказы[#Data],MATCH(B$7,ТабЗаказы[#Headers],0),0),"")</f>
        <v>45415</v>
      </c>
      <c r="C291" t="str">
        <f>MONTH(ТабПозиции[[#This Row],[date]])&amp;"/"&amp;YEAR(ТабПозиции[[#This Row],[date]])</f>
        <v>5/2024</v>
      </c>
      <c r="D291" s="1" t="str">
        <f>IFERROR(VLOOKUP(ТабПозиции[[#This Row],[orderNum]],ТабЗаказы[#Data],MATCH(D$7,ТабЗаказы[#Headers],0),0),"")</f>
        <v/>
      </c>
      <c r="E291" s="1" t="str">
        <f>IFERROR(VLOOKUP(ТабПозиции[[#This Row],[orderNum]],ТабЗаказы[#Data],MATCH(E$7,ТабЗаказы[#Headers],0),0),"")</f>
        <v/>
      </c>
      <c r="F291" s="16" t="s">
        <v>809</v>
      </c>
      <c r="G291" s="40" t="s">
        <v>545</v>
      </c>
      <c r="I291" s="18">
        <v>45417</v>
      </c>
      <c r="J291" s="10">
        <v>3</v>
      </c>
      <c r="K291" s="10">
        <v>1254</v>
      </c>
      <c r="L291">
        <v>3762</v>
      </c>
      <c r="M291" s="10">
        <v>1307</v>
      </c>
      <c r="N291">
        <f t="shared" si="4"/>
        <v>3921</v>
      </c>
      <c r="P2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Row],[orderNum]],ТабПозиции[orderSumm])&gt;1500),ABS(N291*VLOOKUP(ТабПозиции[[#This Row],[orderNum]],ТабЗаказы[#Data],MATCH("Percent",ТабЗаказы[#Headers],0),0))/100,200/COUNTIF(ТабПозиции[orderNum],ТабПозиции[[#This Row],[orderNum]])),0),"")</f>
        <v>392</v>
      </c>
      <c r="Q291">
        <f>IF(OR(ТабПозиции[[#This Row],[item]]="По штрихкоду",ТабПозиции[[#This Row],[item]]="Посылка"),ТабПозиции[[#This Row],[deliverySumm]]+ТабПозиции[[#This Row],[deliveryPost]],SUM(N291:P291))</f>
        <v>4313</v>
      </c>
      <c r="R291" s="41">
        <v>4313</v>
      </c>
      <c r="S291" s="46">
        <f>ТабПозиции[[#This Row],[totalSumm]]-ТабПозиции[[#This Row],[payment]]</f>
        <v>0</v>
      </c>
      <c r="T291" s="18" t="s">
        <v>563</v>
      </c>
      <c r="U291" s="40" t="s">
        <v>545</v>
      </c>
      <c r="V291" s="40" t="s">
        <v>545</v>
      </c>
      <c r="W291" s="40" t="s">
        <v>545</v>
      </c>
      <c r="X291" s="3"/>
      <c r="Y291"/>
    </row>
    <row r="292" spans="1:25" hidden="1" x14ac:dyDescent="0.25">
      <c r="A292" s="10">
        <v>84</v>
      </c>
      <c r="B292" s="1">
        <f>IFERROR(VLOOKUP(ТабПозиции[[#This Row],[orderNum]],ТабЗаказы[#Data],MATCH(B$7,ТабЗаказы[#Headers],0),0),"")</f>
        <v>45416</v>
      </c>
      <c r="C292" t="str">
        <f>MONTH(ТабПозиции[[#This Row],[date]])&amp;"/"&amp;YEAR(ТабПозиции[[#This Row],[date]])</f>
        <v>5/2024</v>
      </c>
      <c r="D292" s="1" t="str">
        <f>IFERROR(VLOOKUP(ТабПозиции[[#This Row],[orderNum]],ТабЗаказы[#Data],MATCH(D$7,ТабЗаказы[#Headers],0),0),"")</f>
        <v/>
      </c>
      <c r="E292" s="1" t="str">
        <f>IFERROR(VLOOKUP(ТабПозиции[[#This Row],[orderNum]],ТабЗаказы[#Data],MATCH(E$7,ТабЗаказы[#Headers],0),0),"")</f>
        <v/>
      </c>
      <c r="F292" s="10" t="s">
        <v>32</v>
      </c>
      <c r="G292" s="40" t="s">
        <v>545</v>
      </c>
      <c r="I292" s="18">
        <v>45416</v>
      </c>
      <c r="J292" s="10">
        <v>1</v>
      </c>
      <c r="K292" s="10">
        <v>6297</v>
      </c>
      <c r="L292">
        <v>6297</v>
      </c>
      <c r="M292" s="10">
        <v>6297</v>
      </c>
      <c r="N292">
        <f t="shared" si="4"/>
        <v>6297</v>
      </c>
      <c r="P2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Row],[orderNum]],ТабПозиции[orderSumm])&gt;1500),ABS(N292*VLOOKUP(ТабПозиции[[#This Row],[orderNum]],ТабЗаказы[#Data],MATCH("Percent",ТабЗаказы[#Headers],0),0))/100,200/COUNTIF(ТабПозиции[orderNum],ТабПозиции[[#This Row],[orderNum]])),0),"")</f>
        <v>630</v>
      </c>
      <c r="Q292">
        <f>IF(OR(ТабПозиции[[#This Row],[item]]="По штрихкоду",ТабПозиции[[#This Row],[item]]="Посылка"),ТабПозиции[[#This Row],[deliverySumm]]+ТабПозиции[[#This Row],[deliveryPost]],SUM(N292:P292))</f>
        <v>630</v>
      </c>
      <c r="R292" s="41">
        <v>630</v>
      </c>
      <c r="S292" s="46">
        <f>ТабПозиции[[#This Row],[totalSumm]]-ТабПозиции[[#This Row],[payment]]</f>
        <v>0</v>
      </c>
      <c r="T292" s="18" t="s">
        <v>580</v>
      </c>
      <c r="U292" s="40" t="s">
        <v>545</v>
      </c>
      <c r="V292" s="40" t="s">
        <v>545</v>
      </c>
      <c r="W292" s="40" t="s">
        <v>545</v>
      </c>
      <c r="X292" s="3"/>
      <c r="Y292"/>
    </row>
    <row r="293" spans="1:25" hidden="1" x14ac:dyDescent="0.25">
      <c r="A293" s="10">
        <v>85</v>
      </c>
      <c r="B293" s="1">
        <f>IFERROR(VLOOKUP(ТабПозиции[[#This Row],[orderNum]],ТабЗаказы[#Data],MATCH(B$7,ТабЗаказы[#Headers],0),0),"")</f>
        <v>45416</v>
      </c>
      <c r="C293" t="str">
        <f>MONTH(ТабПозиции[[#This Row],[date]])&amp;"/"&amp;YEAR(ТабПозиции[[#This Row],[date]])</f>
        <v>5/2024</v>
      </c>
      <c r="D293" s="1" t="str">
        <f>IFERROR(VLOOKUP(ТабПозиции[[#This Row],[orderNum]],ТабЗаказы[#Data],MATCH(D$7,ТабЗаказы[#Headers],0),0),"")</f>
        <v/>
      </c>
      <c r="E293" s="1" t="str">
        <f>IFERROR(VLOOKUP(ТабПозиции[[#This Row],[orderNum]],ТабЗаказы[#Data],MATCH(E$7,ТабЗаказы[#Headers],0),0),"")</f>
        <v/>
      </c>
      <c r="F293" s="10" t="s">
        <v>32</v>
      </c>
      <c r="G293" s="40" t="s">
        <v>545</v>
      </c>
      <c r="I293" s="18">
        <v>45416</v>
      </c>
      <c r="J293" s="10">
        <v>1</v>
      </c>
      <c r="K293" s="10">
        <v>500</v>
      </c>
      <c r="L293">
        <v>500</v>
      </c>
      <c r="M293" s="10">
        <v>500</v>
      </c>
      <c r="N293">
        <f t="shared" si="4"/>
        <v>500</v>
      </c>
      <c r="O293" s="10">
        <v>200</v>
      </c>
      <c r="P2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Row],[orderNum]],ТабПозиции[orderSumm])&gt;1500),ABS(N293*VLOOKUP(ТабПозиции[[#This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293">
        <f>IF(OR(ТабПозиции[[#This Row],[item]]="По штрихкоду",ТабПозиции[[#This Row],[item]]="Посылка"),ТабПозиции[[#This Row],[deliverySumm]]+ТабПозиции[[#This Row],[deliveryPost]],SUM(N293:P293))</f>
        <v>400</v>
      </c>
      <c r="R293" s="41">
        <v>400</v>
      </c>
      <c r="S293" s="46">
        <f>ТабПозиции[[#This Row],[totalSumm]]-ТабПозиции[[#This Row],[payment]]</f>
        <v>0</v>
      </c>
      <c r="T293" s="18" t="s">
        <v>580</v>
      </c>
      <c r="U293" s="40" t="s">
        <v>545</v>
      </c>
      <c r="V293" s="40" t="s">
        <v>545</v>
      </c>
      <c r="W293" s="40" t="s">
        <v>545</v>
      </c>
      <c r="X293" s="3"/>
      <c r="Y293"/>
    </row>
    <row r="294" spans="1:25" hidden="1" x14ac:dyDescent="0.25">
      <c r="A294" s="10">
        <v>86</v>
      </c>
      <c r="B294" s="1">
        <f>IFERROR(VLOOKUP(ТабПозиции[[#This Row],[orderNum]],ТабЗаказы[#Data],MATCH(B$7,ТабЗаказы[#Headers],0),0),"")</f>
        <v>45418</v>
      </c>
      <c r="C294" t="str">
        <f>MONTH(ТабПозиции[[#This Row],[date]])&amp;"/"&amp;YEAR(ТабПозиции[[#This Row],[date]])</f>
        <v>5/2024</v>
      </c>
      <c r="D294" s="1" t="str">
        <f>IFERROR(VLOOKUP(ТабПозиции[[#This Row],[orderNum]],ТабЗаказы[#Data],MATCH(D$7,ТабЗаказы[#Headers],0),0),"")</f>
        <v/>
      </c>
      <c r="E294" s="1" t="str">
        <f>IFERROR(VLOOKUP(ТабПозиции[[#This Row],[orderNum]],ТабЗаказы[#Data],MATCH(E$7,ТабЗаказы[#Headers],0),0),"")</f>
        <v/>
      </c>
      <c r="F294" s="16" t="s">
        <v>810</v>
      </c>
      <c r="G294" s="40" t="s">
        <v>545</v>
      </c>
      <c r="I294" s="18">
        <v>45419</v>
      </c>
      <c r="J294" s="10">
        <v>1</v>
      </c>
      <c r="K294" s="10">
        <v>376</v>
      </c>
      <c r="L294">
        <v>376</v>
      </c>
      <c r="M294" s="10">
        <v>384</v>
      </c>
      <c r="N294">
        <f t="shared" si="4"/>
        <v>384</v>
      </c>
      <c r="P2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Row],[orderNum]],ТабПозиции[orderSumm])&gt;1500),ABS(N294*VLOOKUP(ТабПозиции[[#This Row],[orderNum]],ТабЗаказы[#Data],MATCH("Percent",ТабЗаказы[#Headers],0),0))/100,200/COUNTIF(ТабПозиции[orderNum],ТабПозиции[[#This Row],[orderNum]])),0),"")</f>
        <v>58</v>
      </c>
      <c r="Q294">
        <f>IF(OR(ТабПозиции[[#This Row],[item]]="По штрихкоду",ТабПозиции[[#This Row],[item]]="Посылка"),ТабПозиции[[#This Row],[deliverySumm]]+ТабПозиции[[#This Row],[deliveryPost]],SUM(N294:P294))</f>
        <v>442</v>
      </c>
      <c r="R294" s="41">
        <v>442</v>
      </c>
      <c r="S294" s="46">
        <f>ТабПозиции[[#This Row],[totalSumm]]-ТабПозиции[[#This Row],[payment]]</f>
        <v>0</v>
      </c>
      <c r="T294" s="18" t="s">
        <v>580</v>
      </c>
      <c r="U294" s="47" t="s">
        <v>545</v>
      </c>
      <c r="V294" s="40" t="s">
        <v>545</v>
      </c>
      <c r="W294" s="40" t="s">
        <v>545</v>
      </c>
      <c r="X294" s="3"/>
      <c r="Y294"/>
    </row>
    <row r="295" spans="1:25" hidden="1" x14ac:dyDescent="0.25">
      <c r="A295" s="10">
        <v>86</v>
      </c>
      <c r="B295" s="1">
        <f>IFERROR(VLOOKUP(ТабПозиции[[#This Row],[orderNum]],ТабЗаказы[#Data],MATCH(B$7,ТабЗаказы[#Headers],0),0),"")</f>
        <v>45418</v>
      </c>
      <c r="C295" t="str">
        <f>MONTH(ТабПозиции[[#This Row],[date]])&amp;"/"&amp;YEAR(ТабПозиции[[#This Row],[date]])</f>
        <v>5/2024</v>
      </c>
      <c r="D295" s="1" t="str">
        <f>IFERROR(VLOOKUP(ТабПозиции[[#This Row],[orderNum]],ТабЗаказы[#Data],MATCH(D$7,ТабЗаказы[#Headers],0),0),"")</f>
        <v/>
      </c>
      <c r="E295" s="1" t="str">
        <f>IFERROR(VLOOKUP(ТабПозиции[[#This Row],[orderNum]],ТабЗаказы[#Data],MATCH(E$7,ТабЗаказы[#Headers],0),0),"")</f>
        <v/>
      </c>
      <c r="F295" s="16" t="s">
        <v>811</v>
      </c>
      <c r="G295" s="40" t="s">
        <v>545</v>
      </c>
      <c r="I295" s="18">
        <v>45421</v>
      </c>
      <c r="J295" s="10">
        <v>1</v>
      </c>
      <c r="K295" s="10">
        <v>794</v>
      </c>
      <c r="L295">
        <v>794</v>
      </c>
      <c r="M295" s="10">
        <v>838</v>
      </c>
      <c r="N295">
        <f t="shared" si="4"/>
        <v>838</v>
      </c>
      <c r="P2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Row],[orderNum]],ТабПозиции[orderSumm])&gt;1500),ABS(N295*VLOOKUP(ТабПозиции[[#This Row],[orderNum]],ТабЗаказы[#Data],MATCH("Percent",ТабЗаказы[#Headers],0),0))/100,200/COUNTIF(ТабПозиции[orderNum],ТабПозиции[[#This Row],[orderNum]])),0),"")</f>
        <v>126</v>
      </c>
      <c r="Q295">
        <f>IF(OR(ТабПозиции[[#This Row],[item]]="По штрихкоду",ТабПозиции[[#This Row],[item]]="Посылка"),ТабПозиции[[#This Row],[deliverySumm]]+ТабПозиции[[#This Row],[deliveryPost]],SUM(N295:P295))</f>
        <v>964</v>
      </c>
      <c r="R295" s="41">
        <v>964</v>
      </c>
      <c r="S295" s="46">
        <f>ТабПозиции[[#This Row],[totalSumm]]-ТабПозиции[[#This Row],[payment]]</f>
        <v>0</v>
      </c>
      <c r="T295" s="18" t="s">
        <v>580</v>
      </c>
      <c r="U295" s="40" t="s">
        <v>545</v>
      </c>
      <c r="V295" s="40" t="s">
        <v>545</v>
      </c>
      <c r="W295" s="40" t="s">
        <v>545</v>
      </c>
      <c r="X295" s="3"/>
      <c r="Y295"/>
    </row>
    <row r="296" spans="1:25" hidden="1" x14ac:dyDescent="0.25">
      <c r="A296" s="10">
        <v>86</v>
      </c>
      <c r="B296" s="1">
        <f>IFERROR(VLOOKUP(ТабПозиции[[#This Row],[orderNum]],ТабЗаказы[#Data],MATCH(B$7,ТабЗаказы[#Headers],0),0),"")</f>
        <v>45418</v>
      </c>
      <c r="C296" t="str">
        <f>MONTH(ТабПозиции[[#This Row],[date]])&amp;"/"&amp;YEAR(ТабПозиции[[#This Row],[date]])</f>
        <v>5/2024</v>
      </c>
      <c r="D296" s="1" t="str">
        <f>IFERROR(VLOOKUP(ТабПозиции[[#This Row],[orderNum]],ТабЗаказы[#Data],MATCH(D$7,ТабЗаказы[#Headers],0),0),"")</f>
        <v/>
      </c>
      <c r="E296" s="1" t="str">
        <f>IFERROR(VLOOKUP(ТабПозиции[[#This Row],[orderNum]],ТабЗаказы[#Data],MATCH(E$7,ТабЗаказы[#Headers],0),0),"")</f>
        <v/>
      </c>
      <c r="F296" s="16" t="s">
        <v>812</v>
      </c>
      <c r="G296" s="40" t="s">
        <v>545</v>
      </c>
      <c r="I296" s="18">
        <v>45425</v>
      </c>
      <c r="J296" s="10">
        <v>1</v>
      </c>
      <c r="K296" s="10">
        <v>432</v>
      </c>
      <c r="L296">
        <v>432</v>
      </c>
      <c r="M296" s="10">
        <v>465</v>
      </c>
      <c r="N296">
        <f t="shared" si="4"/>
        <v>465</v>
      </c>
      <c r="P2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Row],[orderNum]],ТабПозиции[orderSumm])&gt;1500),ABS(N296*VLOOKUP(ТабПозиции[[#This Row],[orderNum]],ТабЗаказы[#Data],MATCH("Percent",ТабЗаказы[#Headers],0),0))/100,200/COUNTIF(ТабПозиции[orderNum],ТабПозиции[[#This Row],[orderNum]])),0),"")</f>
        <v>70</v>
      </c>
      <c r="Q296">
        <f>IF(OR(ТабПозиции[[#This Row],[item]]="По штрихкоду",ТабПозиции[[#This Row],[item]]="Посылка"),ТабПозиции[[#This Row],[deliverySumm]]+ТабПозиции[[#This Row],[deliveryPost]],SUM(N296:P296))</f>
        <v>535</v>
      </c>
      <c r="R296" s="41">
        <v>535</v>
      </c>
      <c r="S296" s="46">
        <f>ТабПозиции[[#This Row],[totalSumm]]-ТабПозиции[[#This Row],[payment]]</f>
        <v>0</v>
      </c>
      <c r="T296" s="18" t="s">
        <v>580</v>
      </c>
      <c r="U296" s="40" t="s">
        <v>545</v>
      </c>
      <c r="V296" s="40" t="s">
        <v>545</v>
      </c>
      <c r="W296" s="48" t="s">
        <v>545</v>
      </c>
      <c r="X296" s="3"/>
      <c r="Y296"/>
    </row>
    <row r="297" spans="1:25" hidden="1" x14ac:dyDescent="0.25">
      <c r="A297" s="10">
        <v>87</v>
      </c>
      <c r="B297" s="1">
        <f>IFERROR(VLOOKUP(ТабПозиции[[#This Row],[orderNum]],ТабЗаказы[#Data],MATCH(B$7,ТабЗаказы[#Headers],0),0),"")</f>
        <v>45418</v>
      </c>
      <c r="C297" t="str">
        <f>MONTH(ТабПозиции[[#This Row],[date]])&amp;"/"&amp;YEAR(ТабПозиции[[#This Row],[date]])</f>
        <v>5/2024</v>
      </c>
      <c r="D297" s="1" t="str">
        <f>IFERROR(VLOOKUP(ТабПозиции[[#This Row],[orderNum]],ТабЗаказы[#Data],MATCH(D$7,ТабЗаказы[#Headers],0),0),"")</f>
        <v/>
      </c>
      <c r="E297" s="1" t="str">
        <f>IFERROR(VLOOKUP(ТабПозиции[[#This Row],[orderNum]],ТабЗаказы[#Data],MATCH(E$7,ТабЗаказы[#Headers],0),0),"")</f>
        <v/>
      </c>
      <c r="F297" s="16" t="s">
        <v>813</v>
      </c>
      <c r="G297" s="40" t="s">
        <v>545</v>
      </c>
      <c r="I297" s="18">
        <v>45422</v>
      </c>
      <c r="J297" s="10">
        <v>1</v>
      </c>
      <c r="K297" s="10">
        <v>490</v>
      </c>
      <c r="L297">
        <v>490</v>
      </c>
      <c r="M297" s="10">
        <v>511</v>
      </c>
      <c r="N297">
        <f t="shared" si="4"/>
        <v>511</v>
      </c>
      <c r="P2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Row],[orderNum]],ТабПозиции[orderSumm])&gt;1500),ABS(N297*VLOOKUP(ТабПозиции[[#This Row],[orderNum]],ТабЗаказы[#Data],MATCH("Percent",ТабЗаказы[#Headers],0),0))/100,200/COUNTIF(ТабПозиции[orderNum],ТабПозиции[[#This Row],[orderNum]])),0),"")</f>
        <v>77</v>
      </c>
      <c r="Q297">
        <f>IF(OR(ТабПозиции[[#This Row],[item]]="По штрихкоду",ТабПозиции[[#This Row],[item]]="Посылка"),ТабПозиции[[#This Row],[deliverySumm]]+ТабПозиции[[#This Row],[deliveryPost]],SUM(N297:P297))</f>
        <v>588</v>
      </c>
      <c r="R297" s="41">
        <v>588</v>
      </c>
      <c r="S297" s="46">
        <f>ТабПозиции[[#This Row],[totalSumm]]-ТабПозиции[[#This Row],[payment]]</f>
        <v>0</v>
      </c>
      <c r="T297" s="18" t="s">
        <v>563</v>
      </c>
      <c r="U297" s="40" t="s">
        <v>545</v>
      </c>
      <c r="V297" s="40" t="s">
        <v>545</v>
      </c>
      <c r="W297" s="40" t="s">
        <v>545</v>
      </c>
      <c r="X297" s="3"/>
      <c r="Y297"/>
    </row>
    <row r="298" spans="1:25" hidden="1" x14ac:dyDescent="0.25">
      <c r="A298" s="10">
        <v>87</v>
      </c>
      <c r="B298" s="1">
        <f>IFERROR(VLOOKUP(ТабПозиции[[#This Row],[orderNum]],ТабЗаказы[#Data],MATCH(B$7,ТабЗаказы[#Headers],0),0),"")</f>
        <v>45418</v>
      </c>
      <c r="C298" t="str">
        <f>MONTH(ТабПозиции[[#This Row],[date]])&amp;"/"&amp;YEAR(ТабПозиции[[#This Row],[date]])</f>
        <v>5/2024</v>
      </c>
      <c r="D298" s="1" t="str">
        <f>IFERROR(VLOOKUP(ТабПозиции[[#This Row],[orderNum]],ТабЗаказы[#Data],MATCH(D$7,ТабЗаказы[#Headers],0),0),"")</f>
        <v/>
      </c>
      <c r="E298" s="1" t="str">
        <f>IFERROR(VLOOKUP(ТабПозиции[[#This Row],[orderNum]],ТабЗаказы[#Data],MATCH(E$7,ТабЗаказы[#Headers],0),0),"")</f>
        <v/>
      </c>
      <c r="F298" s="16" t="s">
        <v>814</v>
      </c>
      <c r="G298" s="40" t="s">
        <v>545</v>
      </c>
      <c r="I298" s="18">
        <v>45420</v>
      </c>
      <c r="J298" s="10">
        <v>1</v>
      </c>
      <c r="K298" s="10">
        <v>965</v>
      </c>
      <c r="L298">
        <v>965</v>
      </c>
      <c r="M298" s="10">
        <v>1006</v>
      </c>
      <c r="N298">
        <f t="shared" si="4"/>
        <v>1006</v>
      </c>
      <c r="P2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Row],[orderNum]],ТабПозиции[orderSumm])&gt;1500),ABS(N298*VLOOKUP(ТабПозиции[[#This Row],[orderNum]],ТабЗаказы[#Data],MATCH("Percent",ТабЗаказы[#Headers],0),0))/100,200/COUNTIF(ТабПозиции[orderNum],ТабПозиции[[#This Row],[orderNum]])),0),"")</f>
        <v>151</v>
      </c>
      <c r="Q298">
        <f>IF(OR(ТабПозиции[[#This Row],[item]]="По штрихкоду",ТабПозиции[[#This Row],[item]]="Посылка"),ТабПозиции[[#This Row],[deliverySumm]]+ТабПозиции[[#This Row],[deliveryPost]],SUM(N298:P298))</f>
        <v>1157</v>
      </c>
      <c r="R298" s="41">
        <v>1157</v>
      </c>
      <c r="S298" s="46">
        <f>ТабПозиции[[#This Row],[totalSumm]]-ТабПозиции[[#This Row],[payment]]</f>
        <v>0</v>
      </c>
      <c r="T298" s="18" t="s">
        <v>563</v>
      </c>
      <c r="U298" s="40" t="s">
        <v>545</v>
      </c>
      <c r="V298" s="40" t="s">
        <v>545</v>
      </c>
      <c r="W298" s="40" t="s">
        <v>545</v>
      </c>
      <c r="X298" s="3"/>
      <c r="Y298"/>
    </row>
    <row r="299" spans="1:25" hidden="1" x14ac:dyDescent="0.25">
      <c r="A299" s="10">
        <v>88</v>
      </c>
      <c r="B299" s="1">
        <f>IFERROR(VLOOKUP(ТабПозиции[[#This Row],[orderNum]],ТабЗаказы[#Data],MATCH(B$7,ТабЗаказы[#Headers],0),0),"")</f>
        <v>45418</v>
      </c>
      <c r="C299" t="str">
        <f>MONTH(ТабПозиции[[#This Row],[date]])&amp;"/"&amp;YEAR(ТабПозиции[[#This Row],[date]])</f>
        <v>5/2024</v>
      </c>
      <c r="D299" s="1" t="str">
        <f>IFERROR(VLOOKUP(ТабПозиции[[#This Row],[orderNum]],ТабЗаказы[#Data],MATCH(D$7,ТабЗаказы[#Headers],0),0),"")</f>
        <v/>
      </c>
      <c r="E299" s="1" t="str">
        <f>IFERROR(VLOOKUP(ТабПозиции[[#This Row],[orderNum]],ТабЗаказы[#Data],MATCH(E$7,ТабЗаказы[#Headers],0),0),"")</f>
        <v/>
      </c>
      <c r="F299" s="16" t="s">
        <v>815</v>
      </c>
      <c r="G299" s="40" t="s">
        <v>545</v>
      </c>
      <c r="I299" s="18">
        <v>45422</v>
      </c>
      <c r="J299" s="10">
        <v>1</v>
      </c>
      <c r="K299" s="10">
        <v>13284</v>
      </c>
      <c r="L299">
        <v>13284</v>
      </c>
      <c r="M299" s="10">
        <v>13284</v>
      </c>
      <c r="N299">
        <f t="shared" si="4"/>
        <v>13284</v>
      </c>
      <c r="P2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Row],[orderNum]],ТабПозиции[orderSumm])&gt;1500),ABS(N299*VLOOKUP(ТабПозиции[[#This Row],[orderNum]],ТабЗаказы[#Data],MATCH("Percent",ТабЗаказы[#Headers],0),0))/100,200/COUNTIF(ТабПозиции[orderNum],ТабПозиции[[#This Row],[orderNum]])),0),"")</f>
        <v>1328</v>
      </c>
      <c r="Q299">
        <f>IF(OR(ТабПозиции[[#This Row],[item]]="По штрихкоду",ТабПозиции[[#This Row],[item]]="Посылка"),ТабПозиции[[#This Row],[deliverySumm]]+ТабПозиции[[#This Row],[deliveryPost]],SUM(N299:P299))</f>
        <v>14612</v>
      </c>
      <c r="R299" s="41">
        <v>14612</v>
      </c>
      <c r="S299" s="46">
        <f>ТабПозиции[[#This Row],[totalSumm]]-ТабПозиции[[#This Row],[payment]]</f>
        <v>0</v>
      </c>
      <c r="T299" s="18" t="s">
        <v>694</v>
      </c>
      <c r="U299" s="40" t="s">
        <v>545</v>
      </c>
      <c r="V299" s="40" t="s">
        <v>545</v>
      </c>
      <c r="W299" s="40" t="s">
        <v>545</v>
      </c>
      <c r="X299" s="3"/>
      <c r="Y299"/>
    </row>
    <row r="300" spans="1:25" hidden="1" x14ac:dyDescent="0.25">
      <c r="A300" s="10">
        <v>88</v>
      </c>
      <c r="B300" s="1">
        <f>IFERROR(VLOOKUP(ТабПозиции[[#This Row],[orderNum]],ТабЗаказы[#Data],MATCH(B$7,ТабЗаказы[#Headers],0),0),"")</f>
        <v>45418</v>
      </c>
      <c r="C300" t="str">
        <f>MONTH(ТабПозиции[[#This Row],[date]])&amp;"/"&amp;YEAR(ТабПозиции[[#This Row],[date]])</f>
        <v>5/2024</v>
      </c>
      <c r="D300" s="1" t="str">
        <f>IFERROR(VLOOKUP(ТабПозиции[[#This Row],[orderNum]],ТабЗаказы[#Data],MATCH(D$7,ТабЗаказы[#Headers],0),0),"")</f>
        <v/>
      </c>
      <c r="E300" s="1" t="str">
        <f>IFERROR(VLOOKUP(ТабПозиции[[#This Row],[orderNum]],ТабЗаказы[#Data],MATCH(E$7,ТабЗаказы[#Headers],0),0),"")</f>
        <v/>
      </c>
      <c r="F300" s="16" t="s">
        <v>816</v>
      </c>
      <c r="G300" s="40" t="s">
        <v>545</v>
      </c>
      <c r="I300" s="18">
        <v>45421</v>
      </c>
      <c r="J300" s="10">
        <v>0</v>
      </c>
      <c r="K300" s="10">
        <v>624</v>
      </c>
      <c r="L300">
        <v>0</v>
      </c>
      <c r="M300" s="10">
        <v>651</v>
      </c>
      <c r="N300">
        <f t="shared" si="4"/>
        <v>0</v>
      </c>
      <c r="P3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Row],[orderNum]],ТабПозиции[orderSumm])&gt;1500),ABS(N300*VLOOKUP(ТабПозиции[[#This Row],[orderNum]],ТабЗаказы[#Data],MATCH("Percent",ТабЗаказы[#Headers],0),0))/100,200/COUNTIF(ТабПозиции[orderNum],ТабПозиции[[#This Row],[orderNum]])),0),"")</f>
        <v>0</v>
      </c>
      <c r="Q300">
        <f>IF(OR(ТабПозиции[[#This Row],[item]]="По штрихкоду",ТабПозиции[[#This Row],[item]]="Посылка"),ТабПозиции[[#This Row],[deliverySumm]]+ТабПозиции[[#This Row],[deliveryPost]],SUM(N300:P300))</f>
        <v>0</v>
      </c>
      <c r="R300" s="41">
        <v>0</v>
      </c>
      <c r="S300" s="46">
        <f>ТабПозиции[[#This Row],[totalSumm]]-ТабПозиции[[#This Row],[payment]]</f>
        <v>0</v>
      </c>
      <c r="T300" s="18" t="s">
        <v>563</v>
      </c>
      <c r="U300" s="40" t="s">
        <v>545</v>
      </c>
      <c r="V300" s="40" t="s">
        <v>545</v>
      </c>
      <c r="W300" s="40" t="s">
        <v>545</v>
      </c>
      <c r="X300" s="3"/>
      <c r="Y300"/>
    </row>
    <row r="301" spans="1:25" hidden="1" x14ac:dyDescent="0.25">
      <c r="A301" s="10">
        <v>88</v>
      </c>
      <c r="B301" s="1">
        <f>IFERROR(VLOOKUP(ТабПозиции[[#This Row],[orderNum]],ТабЗаказы[#Data],MATCH(B$7,ТабЗаказы[#Headers],0),0),"")</f>
        <v>45418</v>
      </c>
      <c r="C301" t="str">
        <f>MONTH(ТабПозиции[[#This Row],[date]])&amp;"/"&amp;YEAR(ТабПозиции[[#This Row],[date]])</f>
        <v>5/2024</v>
      </c>
      <c r="D301" s="1" t="str">
        <f>IFERROR(VLOOKUP(ТабПозиции[[#This Row],[orderNum]],ТабЗаказы[#Data],MATCH(D$7,ТабЗаказы[#Headers],0),0),"")</f>
        <v/>
      </c>
      <c r="E301" s="1" t="str">
        <f>IFERROR(VLOOKUP(ТабПозиции[[#This Row],[orderNum]],ТабЗаказы[#Data],MATCH(E$7,ТабЗаказы[#Headers],0),0),"")</f>
        <v/>
      </c>
      <c r="F301" s="16" t="s">
        <v>817</v>
      </c>
      <c r="G301" s="40" t="s">
        <v>545</v>
      </c>
      <c r="I301" s="18">
        <v>45463</v>
      </c>
      <c r="J301" s="10">
        <v>1</v>
      </c>
      <c r="K301" s="10">
        <v>688</v>
      </c>
      <c r="L301">
        <v>688</v>
      </c>
      <c r="M301" s="10">
        <v>689</v>
      </c>
      <c r="N301">
        <f t="shared" si="4"/>
        <v>689</v>
      </c>
      <c r="P3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Row],[orderNum]],ТабПозиции[orderSumm])&gt;1500),ABS(N301*VLOOKUP(ТабПозиции[[#This Row],[orderNum]],ТабЗаказы[#Data],MATCH("Percent",ТабЗаказы[#Headers],0),0))/100,200/COUNTIF(ТабПозиции[orderNum],ТабПозиции[[#This Row],[orderNum]])),0),"")</f>
        <v>69</v>
      </c>
      <c r="Q301">
        <f>IF(OR(ТабПозиции[[#This Row],[item]]="По штрихкоду",ТабПозиции[[#This Row],[item]]="Посылка"),ТабПозиции[[#This Row],[deliverySumm]]+ТабПозиции[[#This Row],[deliveryPost]],SUM(N301:P301))</f>
        <v>758</v>
      </c>
      <c r="R301" s="41">
        <v>758</v>
      </c>
      <c r="S301" s="46">
        <f>ТабПозиции[[#This Row],[totalSumm]]-ТабПозиции[[#This Row],[payment]]</f>
        <v>0</v>
      </c>
      <c r="T301" s="18" t="s">
        <v>563</v>
      </c>
      <c r="U301" s="40" t="s">
        <v>545</v>
      </c>
      <c r="V301" s="40" t="s">
        <v>545</v>
      </c>
      <c r="W301" s="40" t="s">
        <v>545</v>
      </c>
      <c r="X301" s="3"/>
      <c r="Y301"/>
    </row>
    <row r="302" spans="1:25" hidden="1" x14ac:dyDescent="0.25">
      <c r="A302" s="10">
        <v>88</v>
      </c>
      <c r="B302" s="1">
        <f>IFERROR(VLOOKUP(ТабПозиции[[#This Row],[orderNum]],ТабЗаказы[#Data],MATCH(B$7,ТабЗаказы[#Headers],0),0),"")</f>
        <v>45418</v>
      </c>
      <c r="C302" t="str">
        <f>MONTH(ТабПозиции[[#This Row],[date]])&amp;"/"&amp;YEAR(ТабПозиции[[#This Row],[date]])</f>
        <v>5/2024</v>
      </c>
      <c r="D302" s="1" t="str">
        <f>IFERROR(VLOOKUP(ТабПозиции[[#This Row],[orderNum]],ТабЗаказы[#Data],MATCH(D$7,ТабЗаказы[#Headers],0),0),"")</f>
        <v/>
      </c>
      <c r="E302" s="1" t="str">
        <f>IFERROR(VLOOKUP(ТабПозиции[[#This Row],[orderNum]],ТабЗаказы[#Data],MATCH(E$7,ТабЗаказы[#Headers],0),0),"")</f>
        <v/>
      </c>
      <c r="F302" s="16" t="s">
        <v>818</v>
      </c>
      <c r="G302" s="40" t="s">
        <v>545</v>
      </c>
      <c r="I302" s="18">
        <v>45420</v>
      </c>
      <c r="J302" s="10">
        <v>2</v>
      </c>
      <c r="K302" s="10">
        <v>192</v>
      </c>
      <c r="L302">
        <v>384</v>
      </c>
      <c r="M302" s="10">
        <v>200</v>
      </c>
      <c r="N302">
        <f t="shared" si="4"/>
        <v>400</v>
      </c>
      <c r="P3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Row],[orderNum]],ТабПозиции[orderSumm])&gt;1500),ABS(N302*VLOOKUP(ТабПозиции[[#This Row],[orderNum]],ТабЗаказы[#Data],MATCH("Percent",ТабЗаказы[#Headers],0),0))/100,200/COUNTIF(ТабПозиции[orderNum],ТабПозиции[[#This Row],[orderNum]])),0),"")</f>
        <v>40</v>
      </c>
      <c r="Q302">
        <f>IF(OR(ТабПозиции[[#This Row],[item]]="По штрихкоду",ТабПозиции[[#This Row],[item]]="Посылка"),ТабПозиции[[#This Row],[deliverySumm]]+ТабПозиции[[#This Row],[deliveryPost]],SUM(N302:P302))</f>
        <v>440</v>
      </c>
      <c r="R302" s="41">
        <v>440</v>
      </c>
      <c r="S302" s="46">
        <f>ТабПозиции[[#This Row],[totalSumm]]-ТабПозиции[[#This Row],[payment]]</f>
        <v>0</v>
      </c>
      <c r="T302" s="18" t="s">
        <v>563</v>
      </c>
      <c r="U302" s="40" t="s">
        <v>545</v>
      </c>
      <c r="V302" s="40" t="s">
        <v>545</v>
      </c>
      <c r="W302" s="40" t="s">
        <v>545</v>
      </c>
      <c r="X302" s="3"/>
      <c r="Y302"/>
    </row>
    <row r="303" spans="1:25" hidden="1" x14ac:dyDescent="0.25">
      <c r="A303" s="10">
        <v>88</v>
      </c>
      <c r="B303" s="1">
        <f>IFERROR(VLOOKUP(ТабПозиции[[#This Row],[orderNum]],ТабЗаказы[#Data],MATCH(B$7,ТабЗаказы[#Headers],0),0),"")</f>
        <v>45418</v>
      </c>
      <c r="C303" t="str">
        <f>MONTH(ТабПозиции[[#This Row],[date]])&amp;"/"&amp;YEAR(ТабПозиции[[#This Row],[date]])</f>
        <v>5/2024</v>
      </c>
      <c r="D303" s="1" t="str">
        <f>IFERROR(VLOOKUP(ТабПозиции[[#This Row],[orderNum]],ТабЗаказы[#Data],MATCH(D$7,ТабЗаказы[#Headers],0),0),"")</f>
        <v/>
      </c>
      <c r="E303" s="1" t="str">
        <f>IFERROR(VLOOKUP(ТабПозиции[[#This Row],[orderNum]],ТабЗаказы[#Data],MATCH(E$7,ТабЗаказы[#Headers],0),0),"")</f>
        <v/>
      </c>
      <c r="F303" s="16" t="s">
        <v>819</v>
      </c>
      <c r="G303" s="40" t="s">
        <v>545</v>
      </c>
      <c r="I303" s="18">
        <v>45420</v>
      </c>
      <c r="J303" s="10">
        <v>2</v>
      </c>
      <c r="K303" s="10">
        <v>95</v>
      </c>
      <c r="L303">
        <v>190</v>
      </c>
      <c r="M303" s="10">
        <v>99</v>
      </c>
      <c r="N303">
        <f t="shared" si="4"/>
        <v>198</v>
      </c>
      <c r="P3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Row],[orderNum]],ТабПозиции[orderSumm])&gt;1500),ABS(N303*VLOOKUP(ТабПозиции[[#This Row],[orderNum]],ТабЗаказы[#Data],MATCH("Percent",ТабЗаказы[#Headers],0),0))/100,200/COUNTIF(ТабПозиции[orderNum],ТабПозиции[[#This Row],[orderNum]])),0),"")</f>
        <v>20</v>
      </c>
      <c r="Q303">
        <f>IF(OR(ТабПозиции[[#This Row],[item]]="По штрихкоду",ТабПозиции[[#This Row],[item]]="Посылка"),ТабПозиции[[#This Row],[deliverySumm]]+ТабПозиции[[#This Row],[deliveryPost]],SUM(N303:P303))</f>
        <v>218</v>
      </c>
      <c r="R303" s="41">
        <v>218</v>
      </c>
      <c r="S303" s="46">
        <f>ТабПозиции[[#This Row],[totalSumm]]-ТабПозиции[[#This Row],[payment]]</f>
        <v>0</v>
      </c>
      <c r="T303" s="18" t="s">
        <v>563</v>
      </c>
      <c r="U303" s="40" t="s">
        <v>545</v>
      </c>
      <c r="V303" s="40" t="s">
        <v>545</v>
      </c>
      <c r="W303" s="40" t="s">
        <v>545</v>
      </c>
      <c r="X303" s="3"/>
      <c r="Y303"/>
    </row>
    <row r="304" spans="1:25" hidden="1" x14ac:dyDescent="0.25">
      <c r="A304" s="10">
        <v>89</v>
      </c>
      <c r="B304" s="1">
        <f>IFERROR(VLOOKUP(ТабПозиции[[#This Row],[orderNum]],ТабЗаказы[#Data],MATCH(B$7,ТабЗаказы[#Headers],0),0),"")</f>
        <v>45419</v>
      </c>
      <c r="C304" t="str">
        <f>MONTH(ТабПозиции[[#This Row],[date]])&amp;"/"&amp;YEAR(ТабПозиции[[#This Row],[date]])</f>
        <v>5/2024</v>
      </c>
      <c r="D304" s="1" t="str">
        <f>IFERROR(VLOOKUP(ТабПозиции[[#This Row],[orderNum]],ТабЗаказы[#Data],MATCH(D$7,ТабЗаказы[#Headers],0),0),"")</f>
        <v/>
      </c>
      <c r="E304" s="1" t="str">
        <f>IFERROR(VLOOKUP(ТабПозиции[[#This Row],[orderNum]],ТабЗаказы[#Data],MATCH(E$7,ТабЗаказы[#Headers],0),0),"")</f>
        <v/>
      </c>
      <c r="F304" s="10" t="s">
        <v>820</v>
      </c>
      <c r="G304" s="40" t="s">
        <v>545</v>
      </c>
      <c r="H304" s="12" t="s">
        <v>821</v>
      </c>
      <c r="I304" s="18">
        <v>45420</v>
      </c>
      <c r="J304" s="10">
        <v>1</v>
      </c>
      <c r="K304" s="10">
        <v>2959</v>
      </c>
      <c r="L304">
        <v>2959</v>
      </c>
      <c r="M304" s="10">
        <v>2959</v>
      </c>
      <c r="N304">
        <f t="shared" si="4"/>
        <v>2959</v>
      </c>
      <c r="P3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Row],[orderNum]],ТабПозиции[orderSumm])&gt;1500),ABS(N304*VLOOKUP(ТабПозиции[[#This Row],[orderNum]],ТабЗаказы[#Data],MATCH("Percent",ТабЗаказы[#Headers],0),0))/100,200/COUNTIF(ТабПозиции[orderNum],ТабПозиции[[#This Row],[orderNum]])),0),"")</f>
        <v>296</v>
      </c>
      <c r="Q304">
        <f>IF(OR(ТабПозиции[[#This Row],[item]]="По штрихкоду",ТабПозиции[[#This Row],[item]]="Посылка"),ТабПозиции[[#This Row],[deliverySumm]]+ТабПозиции[[#This Row],[deliveryPost]],SUM(N304:P304))</f>
        <v>296</v>
      </c>
      <c r="R304" s="41">
        <v>296</v>
      </c>
      <c r="S304" s="46">
        <f>ТабПозиции[[#This Row],[totalSumm]]-ТабПозиции[[#This Row],[payment]]</f>
        <v>0</v>
      </c>
      <c r="T304" s="18" t="s">
        <v>676</v>
      </c>
      <c r="U304" s="40" t="s">
        <v>545</v>
      </c>
      <c r="V304" s="48" t="s">
        <v>545</v>
      </c>
      <c r="W304" s="48" t="s">
        <v>545</v>
      </c>
      <c r="X304" s="3"/>
      <c r="Y304"/>
    </row>
    <row r="305" spans="1:25" hidden="1" x14ac:dyDescent="0.25">
      <c r="A305" s="10">
        <v>89</v>
      </c>
      <c r="B305" s="1">
        <f>IFERROR(VLOOKUP(ТабПозиции[[#This Row],[orderNum]],ТабЗаказы[#Data],MATCH(B$7,ТабЗаказы[#Headers],0),0),"")</f>
        <v>45419</v>
      </c>
      <c r="C305" t="str">
        <f>MONTH(ТабПозиции[[#This Row],[date]])&amp;"/"&amp;YEAR(ТабПозиции[[#This Row],[date]])</f>
        <v>5/2024</v>
      </c>
      <c r="D305" s="1" t="str">
        <f>IFERROR(VLOOKUP(ТабПозиции[[#This Row],[orderNum]],ТабЗаказы[#Data],MATCH(D$7,ТабЗаказы[#Headers],0),0),"")</f>
        <v/>
      </c>
      <c r="E305" s="1" t="str">
        <f>IFERROR(VLOOKUP(ТабПозиции[[#This Row],[orderNum]],ТабЗаказы[#Data],MATCH(E$7,ТабЗаказы[#Headers],0),0),"")</f>
        <v/>
      </c>
      <c r="F305" s="10" t="s">
        <v>820</v>
      </c>
      <c r="G305" s="40" t="s">
        <v>545</v>
      </c>
      <c r="H305" s="12" t="s">
        <v>822</v>
      </c>
      <c r="I305" s="18">
        <v>45427</v>
      </c>
      <c r="J305" s="10">
        <v>1</v>
      </c>
      <c r="K305" s="10">
        <v>5990</v>
      </c>
      <c r="L305">
        <v>5990</v>
      </c>
      <c r="M305" s="10">
        <v>5990</v>
      </c>
      <c r="N305">
        <f t="shared" si="4"/>
        <v>5990</v>
      </c>
      <c r="P3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Row],[orderNum]],ТабПозиции[orderSumm])&gt;1500),ABS(N305*VLOOKUP(ТабПозиции[[#This Row],[orderNum]],ТабЗаказы[#Data],MATCH("Percent",ТабЗаказы[#Headers],0),0))/100,200/COUNTIF(ТабПозиции[orderNum],ТабПозиции[[#This Row],[orderNum]])),0),"")</f>
        <v>599</v>
      </c>
      <c r="Q305">
        <f>IF(OR(ТабПозиции[[#This Row],[item]]="По штрихкоду",ТабПозиции[[#This Row],[item]]="Посылка"),ТабПозиции[[#This Row],[deliverySumm]]+ТабПозиции[[#This Row],[deliveryPost]],SUM(N305:P305))</f>
        <v>599</v>
      </c>
      <c r="R305" s="41">
        <v>599</v>
      </c>
      <c r="S305" s="46">
        <f>ТабПозиции[[#This Row],[totalSumm]]-ТабПозиции[[#This Row],[payment]]</f>
        <v>0</v>
      </c>
      <c r="T305" s="18" t="s">
        <v>676</v>
      </c>
      <c r="U305" s="40" t="s">
        <v>545</v>
      </c>
      <c r="V305" s="48" t="s">
        <v>545</v>
      </c>
      <c r="W305" s="48" t="s">
        <v>545</v>
      </c>
      <c r="X305" s="3"/>
      <c r="Y305"/>
    </row>
    <row r="306" spans="1:25" hidden="1" x14ac:dyDescent="0.25">
      <c r="A306" s="10">
        <v>89</v>
      </c>
      <c r="B306" s="1">
        <f>IFERROR(VLOOKUP(ТабПозиции[[#This Row],[orderNum]],ТабЗаказы[#Data],MATCH(B$7,ТабЗаказы[#Headers],0),0),"")</f>
        <v>45419</v>
      </c>
      <c r="C306" t="str">
        <f>MONTH(ТабПозиции[[#This Row],[date]])&amp;"/"&amp;YEAR(ТабПозиции[[#This Row],[date]])</f>
        <v>5/2024</v>
      </c>
      <c r="D306" s="1" t="str">
        <f>IFERROR(VLOOKUP(ТабПозиции[[#This Row],[orderNum]],ТабЗаказы[#Data],MATCH(D$7,ТабЗаказы[#Headers],0),0),"")</f>
        <v/>
      </c>
      <c r="E306" s="1" t="str">
        <f>IFERROR(VLOOKUP(ТабПозиции[[#This Row],[orderNum]],ТабЗаказы[#Data],MATCH(E$7,ТабЗаказы[#Headers],0),0),"")</f>
        <v/>
      </c>
      <c r="F306" s="10" t="s">
        <v>820</v>
      </c>
      <c r="G306" s="40" t="s">
        <v>545</v>
      </c>
      <c r="H306" s="12" t="s">
        <v>823</v>
      </c>
      <c r="I306" s="18">
        <v>45428</v>
      </c>
      <c r="J306" s="10">
        <v>1</v>
      </c>
      <c r="K306" s="10">
        <v>11300</v>
      </c>
      <c r="L306">
        <v>11300</v>
      </c>
      <c r="M306" s="10">
        <v>11300</v>
      </c>
      <c r="N306">
        <f t="shared" si="4"/>
        <v>11300</v>
      </c>
      <c r="P3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Row],[orderNum]],ТабПозиции[orderSumm])&gt;1500),ABS(N306*VLOOKUP(ТабПозиции[[#This Row],[orderNum]],ТабЗаказы[#Data],MATCH("Percent",ТабЗаказы[#Headers],0),0))/100,200/COUNTIF(ТабПозиции[orderNum],ТабПозиции[[#This Row],[orderNum]])),0),"")</f>
        <v>1130</v>
      </c>
      <c r="Q306">
        <f>IF(OR(ТабПозиции[[#This Row],[item]]="По штрихкоду",ТабПозиции[[#This Row],[item]]="Посылка"),ТабПозиции[[#This Row],[deliverySumm]]+ТабПозиции[[#This Row],[deliveryPost]],SUM(N306:P306))</f>
        <v>1130</v>
      </c>
      <c r="R306" s="41">
        <v>1130</v>
      </c>
      <c r="S306" s="46">
        <f>ТабПозиции[[#This Row],[totalSumm]]-ТабПозиции[[#This Row],[payment]]</f>
        <v>0</v>
      </c>
      <c r="T306" s="18" t="s">
        <v>615</v>
      </c>
      <c r="U306" s="40" t="s">
        <v>545</v>
      </c>
      <c r="V306" s="48" t="s">
        <v>545</v>
      </c>
      <c r="W306" s="48" t="s">
        <v>545</v>
      </c>
      <c r="X306" s="3"/>
      <c r="Y306"/>
    </row>
    <row r="307" spans="1:25" hidden="1" x14ac:dyDescent="0.25">
      <c r="A307" s="10">
        <v>89</v>
      </c>
      <c r="B307" s="1">
        <f>IFERROR(VLOOKUP(ТабПозиции[[#This Row],[orderNum]],ТабЗаказы[#Data],MATCH(B$7,ТабЗаказы[#Headers],0),0),"")</f>
        <v>45419</v>
      </c>
      <c r="C307" t="str">
        <f>MONTH(ТабПозиции[[#This Row],[date]])&amp;"/"&amp;YEAR(ТабПозиции[[#This Row],[date]])</f>
        <v>5/2024</v>
      </c>
      <c r="D307" s="1" t="str">
        <f>IFERROR(VLOOKUP(ТабПозиции[[#This Row],[orderNum]],ТабЗаказы[#Data],MATCH(D$7,ТабЗаказы[#Headers],0),0),"")</f>
        <v/>
      </c>
      <c r="E307" s="1" t="str">
        <f>IFERROR(VLOOKUP(ТабПозиции[[#This Row],[orderNum]],ТабЗаказы[#Data],MATCH(E$7,ТабЗаказы[#Headers],0),0),"")</f>
        <v/>
      </c>
      <c r="F307" s="10" t="s">
        <v>820</v>
      </c>
      <c r="G307" s="40" t="s">
        <v>545</v>
      </c>
      <c r="H307" s="12" t="s">
        <v>824</v>
      </c>
      <c r="I307" s="18">
        <v>45425</v>
      </c>
      <c r="J307" s="10">
        <v>1</v>
      </c>
      <c r="K307" s="10">
        <v>4400</v>
      </c>
      <c r="L307">
        <v>4400</v>
      </c>
      <c r="M307" s="10">
        <v>4400</v>
      </c>
      <c r="N307">
        <f t="shared" si="4"/>
        <v>4400</v>
      </c>
      <c r="P3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Row],[orderNum]],ТабПозиции[orderSumm])&gt;1500),ABS(N307*VLOOKUP(ТабПозиции[[#This Row],[orderNum]],ТабЗаказы[#Data],MATCH("Percent",ТабЗаказы[#Headers],0),0))/100,200/COUNTIF(ТабПозиции[orderNum],ТабПозиции[[#This Row],[orderNum]])),0),"")</f>
        <v>440</v>
      </c>
      <c r="Q307">
        <f>IF(OR(ТабПозиции[[#This Row],[item]]="По штрихкоду",ТабПозиции[[#This Row],[item]]="Посылка"),ТабПозиции[[#This Row],[deliverySumm]]+ТабПозиции[[#This Row],[deliveryPost]],SUM(N307:P307))</f>
        <v>440</v>
      </c>
      <c r="R307" s="41">
        <v>440</v>
      </c>
      <c r="S307" s="46">
        <f>ТабПозиции[[#This Row],[totalSumm]]-ТабПозиции[[#This Row],[payment]]</f>
        <v>0</v>
      </c>
      <c r="T307" s="18" t="s">
        <v>615</v>
      </c>
      <c r="U307" s="40" t="s">
        <v>545</v>
      </c>
      <c r="V307" s="48" t="s">
        <v>545</v>
      </c>
      <c r="W307" s="48" t="s">
        <v>545</v>
      </c>
      <c r="X307" s="3"/>
      <c r="Y307"/>
    </row>
    <row r="308" spans="1:25" hidden="1" x14ac:dyDescent="0.25">
      <c r="A308" s="10">
        <v>89</v>
      </c>
      <c r="B308" s="1">
        <f>IFERROR(VLOOKUP(ТабПозиции[[#This Row],[orderNum]],ТабЗаказы[#Data],MATCH(B$7,ТабЗаказы[#Headers],0),0),"")</f>
        <v>45419</v>
      </c>
      <c r="C308" t="str">
        <f>MONTH(ТабПозиции[[#This Row],[date]])&amp;"/"&amp;YEAR(ТабПозиции[[#This Row],[date]])</f>
        <v>5/2024</v>
      </c>
      <c r="D308" s="1" t="str">
        <f>IFERROR(VLOOKUP(ТабПозиции[[#This Row],[orderNum]],ТабЗаказы[#Data],MATCH(D$7,ТабЗаказы[#Headers],0),0),"")</f>
        <v/>
      </c>
      <c r="E308" s="1" t="str">
        <f>IFERROR(VLOOKUP(ТабПозиции[[#This Row],[orderNum]],ТабЗаказы[#Data],MATCH(E$7,ТабЗаказы[#Headers],0),0),"")</f>
        <v/>
      </c>
      <c r="F308" s="10" t="s">
        <v>825</v>
      </c>
      <c r="G308" s="40" t="s">
        <v>545</v>
      </c>
      <c r="H308" s="12" t="s">
        <v>826</v>
      </c>
      <c r="I308" s="18">
        <v>45422</v>
      </c>
      <c r="J308" s="10">
        <v>1</v>
      </c>
      <c r="K308" s="10">
        <v>9000</v>
      </c>
      <c r="L308">
        <v>9000</v>
      </c>
      <c r="M308" s="10">
        <v>9000</v>
      </c>
      <c r="N308">
        <f t="shared" si="4"/>
        <v>9000</v>
      </c>
      <c r="P3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Row],[orderNum]],ТабПозиции[orderSumm])&gt;1500),ABS(N308*VLOOKUP(ТабПозиции[[#This Row],[orderNum]],ТабЗаказы[#Data],MATCH("Percent",ТабЗаказы[#Headers],0),0))/100,200/COUNTIF(ТабПозиции[orderNum],ТабПозиции[[#This Row],[orderNum]])),0),"")</f>
        <v>900</v>
      </c>
      <c r="Q308">
        <f>IF(OR(ТабПозиции[[#This Row],[item]]="По штрихкоду",ТабПозиции[[#This Row],[item]]="Посылка"),ТабПозиции[[#This Row],[deliverySumm]]+ТабПозиции[[#This Row],[deliveryPost]],SUM(N308:P308))</f>
        <v>9900</v>
      </c>
      <c r="R308" s="41">
        <v>9900</v>
      </c>
      <c r="S308" s="46">
        <f>ТабПозиции[[#This Row],[totalSumm]]-ТабПозиции[[#This Row],[payment]]</f>
        <v>0</v>
      </c>
      <c r="T308" s="18" t="s">
        <v>615</v>
      </c>
      <c r="U308" s="40" t="s">
        <v>545</v>
      </c>
      <c r="V308" s="48" t="s">
        <v>545</v>
      </c>
      <c r="W308" s="48" t="s">
        <v>545</v>
      </c>
      <c r="X308" s="3"/>
      <c r="Y308"/>
    </row>
    <row r="309" spans="1:25" hidden="1" x14ac:dyDescent="0.25">
      <c r="A309" s="10">
        <v>90</v>
      </c>
      <c r="B309" s="1">
        <f>IFERROR(VLOOKUP(ТабПозиции[[#This Row],[orderNum]],ТабЗаказы[#Data],MATCH(B$7,ТабЗаказы[#Headers],0),0),"")</f>
        <v>45416</v>
      </c>
      <c r="C309" t="str">
        <f>MONTH(ТабПозиции[[#This Row],[date]])&amp;"/"&amp;YEAR(ТабПозиции[[#This Row],[date]])</f>
        <v>5/2024</v>
      </c>
      <c r="D309" s="1" t="str">
        <f>IFERROR(VLOOKUP(ТабПозиции[[#This Row],[orderNum]],ТабЗаказы[#Data],MATCH(D$7,ТабЗаказы[#Headers],0),0),"")</f>
        <v/>
      </c>
      <c r="E309" s="1" t="str">
        <f>IFERROR(VLOOKUP(ТабПозиции[[#This Row],[orderNum]],ТабЗаказы[#Data],MATCH(E$7,ТабЗаказы[#Headers],0),0),"")</f>
        <v/>
      </c>
      <c r="F309" s="10" t="s">
        <v>825</v>
      </c>
      <c r="G309" s="40" t="s">
        <v>545</v>
      </c>
      <c r="H309" s="12" t="s">
        <v>827</v>
      </c>
      <c r="I309" s="18"/>
      <c r="J309" s="10">
        <v>1</v>
      </c>
      <c r="K309" s="10">
        <v>25999</v>
      </c>
      <c r="L309">
        <v>25999</v>
      </c>
      <c r="M309" s="10">
        <v>25999</v>
      </c>
      <c r="N309">
        <f t="shared" si="4"/>
        <v>25999</v>
      </c>
      <c r="P3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Row],[orderNum]],ТабПозиции[orderSumm])&gt;1500),ABS(N309*VLOOKUP(ТабПозиции[[#This Row],[orderNum]],ТабЗаказы[#Data],MATCH("Percent",ТабЗаказы[#Headers],0),0))/100,200/COUNTIF(ТабПозиции[orderNum],ТабПозиции[[#This Row],[orderNum]])),0),"")</f>
        <v>2600</v>
      </c>
      <c r="Q309">
        <f>IF(OR(ТабПозиции[[#This Row],[item]]="По штрихкоду",ТабПозиции[[#This Row],[item]]="Посылка"),ТабПозиции[[#This Row],[deliverySumm]]+ТабПозиции[[#This Row],[deliveryPost]],SUM(N309:P309))</f>
        <v>28599</v>
      </c>
      <c r="R309" s="41">
        <v>28599</v>
      </c>
      <c r="S309" s="46">
        <f>ТабПозиции[[#This Row],[totalSumm]]-ТабПозиции[[#This Row],[payment]]</f>
        <v>0</v>
      </c>
      <c r="T309" s="18" t="s">
        <v>615</v>
      </c>
      <c r="U309" s="40" t="s">
        <v>545</v>
      </c>
      <c r="V309" s="40" t="s">
        <v>545</v>
      </c>
      <c r="W309" s="48" t="s">
        <v>545</v>
      </c>
      <c r="X309" s="3"/>
      <c r="Y309"/>
    </row>
    <row r="310" spans="1:25" hidden="1" x14ac:dyDescent="0.25">
      <c r="A310" s="10">
        <v>91</v>
      </c>
      <c r="B310" s="1">
        <f>IFERROR(VLOOKUP(ТабПозиции[[#This Row],[orderNum]],ТабЗаказы[#Data],MATCH(B$7,ТабЗаказы[#Headers],0),0),"")</f>
        <v>45422</v>
      </c>
      <c r="C310" t="str">
        <f>MONTH(ТабПозиции[[#This Row],[date]])&amp;"/"&amp;YEAR(ТабПозиции[[#This Row],[date]])</f>
        <v>5/2024</v>
      </c>
      <c r="D310" s="1" t="str">
        <f>IFERROR(VLOOKUP(ТабПозиции[[#This Row],[orderNum]],ТабЗаказы[#Data],MATCH(D$7,ТабЗаказы[#Headers],0),0),"")</f>
        <v/>
      </c>
      <c r="E310" s="1" t="str">
        <f>IFERROR(VLOOKUP(ТабПозиции[[#This Row],[orderNum]],ТабЗаказы[#Data],MATCH(E$7,ТабЗаказы[#Headers],0),0),"")</f>
        <v/>
      </c>
      <c r="F310" s="16" t="s">
        <v>828</v>
      </c>
      <c r="G310" s="40" t="s">
        <v>545</v>
      </c>
      <c r="I310" s="18">
        <v>45428</v>
      </c>
      <c r="J310" s="10">
        <v>1</v>
      </c>
      <c r="K310" s="10">
        <v>642</v>
      </c>
      <c r="L310">
        <v>642</v>
      </c>
      <c r="M310" s="10">
        <v>691</v>
      </c>
      <c r="N310">
        <f t="shared" si="4"/>
        <v>691</v>
      </c>
      <c r="P3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Row],[orderNum]],ТабПозиции[orderSumm])&gt;1500),ABS(N310*VLOOKUP(ТабПозиции[[#This Row],[orderNum]],ТабЗаказы[#Data],MATCH("Percent",ТабЗаказы[#Headers],0),0))/100,200/COUNTIF(ТабПозиции[orderNum],ТабПозиции[[#This Row],[orderNum]])),0),"")</f>
        <v>104</v>
      </c>
      <c r="Q310">
        <f>IF(OR(ТабПозиции[[#This Row],[item]]="По штрихкоду",ТабПозиции[[#This Row],[item]]="Посылка"),ТабПозиции[[#This Row],[deliverySumm]]+ТабПозиции[[#This Row],[deliveryPost]],SUM(N310:P310))</f>
        <v>795</v>
      </c>
      <c r="R310" s="41">
        <v>795</v>
      </c>
      <c r="S310" s="46">
        <f>ТабПозиции[[#This Row],[totalSumm]]-ТабПозиции[[#This Row],[payment]]</f>
        <v>0</v>
      </c>
      <c r="T310" s="18" t="s">
        <v>580</v>
      </c>
      <c r="U310" s="40" t="s">
        <v>545</v>
      </c>
      <c r="V310" s="40" t="s">
        <v>545</v>
      </c>
      <c r="W310" s="48" t="s">
        <v>545</v>
      </c>
      <c r="X310" s="3"/>
      <c r="Y310"/>
    </row>
    <row r="311" spans="1:25" hidden="1" x14ac:dyDescent="0.25">
      <c r="A311" s="10">
        <v>91</v>
      </c>
      <c r="B311" s="1">
        <f>IFERROR(VLOOKUP(ТабПозиции[[#This Row],[orderNum]],ТабЗаказы[#Data],MATCH(B$7,ТабЗаказы[#Headers],0),0),"")</f>
        <v>45422</v>
      </c>
      <c r="C311" t="str">
        <f>MONTH(ТабПозиции[[#This Row],[date]])&amp;"/"&amp;YEAR(ТабПозиции[[#This Row],[date]])</f>
        <v>5/2024</v>
      </c>
      <c r="D311" s="1" t="str">
        <f>IFERROR(VLOOKUP(ТабПозиции[[#This Row],[orderNum]],ТабЗаказы[#Data],MATCH(D$7,ТабЗаказы[#Headers],0),0),"")</f>
        <v/>
      </c>
      <c r="E311" s="1" t="str">
        <f>IFERROR(VLOOKUP(ТабПозиции[[#This Row],[orderNum]],ТабЗаказы[#Data],MATCH(E$7,ТабЗаказы[#Headers],0),0),"")</f>
        <v/>
      </c>
      <c r="F311" s="16" t="s">
        <v>829</v>
      </c>
      <c r="G311" s="40" t="s">
        <v>545</v>
      </c>
      <c r="I311" s="18">
        <v>45424</v>
      </c>
      <c r="J311" s="10">
        <v>1</v>
      </c>
      <c r="K311" s="10">
        <v>266</v>
      </c>
      <c r="L311">
        <v>266</v>
      </c>
      <c r="M311" s="10">
        <v>271</v>
      </c>
      <c r="N311">
        <f t="shared" si="4"/>
        <v>271</v>
      </c>
      <c r="P3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Row],[orderNum]],ТабПозиции[orderSumm])&gt;1500),ABS(N311*VLOOKUP(ТабПозиции[[#This Row],[orderNum]],ТабЗаказы[#Data],MATCH("Percent",ТабЗаказы[#Headers],0),0))/100,200/COUNTIF(ТабПозиции[orderNum],ТабПозиции[[#This Row],[orderNum]])),0),"")</f>
        <v>41</v>
      </c>
      <c r="Q311">
        <f>IF(OR(ТабПозиции[[#This Row],[item]]="По штрихкоду",ТабПозиции[[#This Row],[item]]="Посылка"),ТабПозиции[[#This Row],[deliverySumm]]+ТабПозиции[[#This Row],[deliveryPost]],SUM(N311:P311))</f>
        <v>312</v>
      </c>
      <c r="R311" s="41">
        <v>312</v>
      </c>
      <c r="S311" s="46">
        <f>ТабПозиции[[#This Row],[totalSumm]]-ТабПозиции[[#This Row],[payment]]</f>
        <v>0</v>
      </c>
      <c r="T311" s="18" t="s">
        <v>580</v>
      </c>
      <c r="U311" s="40" t="s">
        <v>545</v>
      </c>
      <c r="V311" s="40" t="s">
        <v>545</v>
      </c>
      <c r="W311" s="48" t="s">
        <v>545</v>
      </c>
      <c r="X311" s="3"/>
      <c r="Y311"/>
    </row>
    <row r="312" spans="1:25" hidden="1" x14ac:dyDescent="0.25">
      <c r="A312" s="10">
        <v>91</v>
      </c>
      <c r="B312" s="1">
        <f>IFERROR(VLOOKUP(ТабПозиции[[#This Row],[orderNum]],ТабЗаказы[#Data],MATCH(B$7,ТабЗаказы[#Headers],0),0),"")</f>
        <v>45422</v>
      </c>
      <c r="C312" t="str">
        <f>MONTH(ТабПозиции[[#This Row],[date]])&amp;"/"&amp;YEAR(ТабПозиции[[#This Row],[date]])</f>
        <v>5/2024</v>
      </c>
      <c r="D312" s="1" t="str">
        <f>IFERROR(VLOOKUP(ТабПозиции[[#This Row],[orderNum]],ТабЗаказы[#Data],MATCH(D$7,ТабЗаказы[#Headers],0),0),"")</f>
        <v/>
      </c>
      <c r="E312" s="1" t="str">
        <f>IFERROR(VLOOKUP(ТабПозиции[[#This Row],[orderNum]],ТабЗаказы[#Data],MATCH(E$7,ТабЗаказы[#Headers],0),0),"")</f>
        <v/>
      </c>
      <c r="F312" s="16" t="s">
        <v>830</v>
      </c>
      <c r="G312" s="40" t="s">
        <v>545</v>
      </c>
      <c r="I312" s="18">
        <v>45425</v>
      </c>
      <c r="J312" s="10">
        <v>1</v>
      </c>
      <c r="K312" s="10">
        <v>322</v>
      </c>
      <c r="L312">
        <v>322</v>
      </c>
      <c r="M312" s="10">
        <v>329</v>
      </c>
      <c r="N312">
        <f t="shared" si="4"/>
        <v>329</v>
      </c>
      <c r="P3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Row],[orderNum]],ТабПозиции[orderSumm])&gt;1500),ABS(N312*VLOOKUP(ТабПозиции[[#This Row],[orderNum]],ТабЗаказы[#Data],MATCH("Percent",ТабЗаказы[#Headers],0),0))/100,200/COUNTIF(ТабПозиции[orderNum],ТабПозиции[[#This Row],[orderNum]])),0),"")</f>
        <v>49</v>
      </c>
      <c r="Q312">
        <f>IF(OR(ТабПозиции[[#This Row],[item]]="По штрихкоду",ТабПозиции[[#This Row],[item]]="Посылка"),ТабПозиции[[#This Row],[deliverySumm]]+ТабПозиции[[#This Row],[deliveryPost]],SUM(N312:P312))</f>
        <v>378</v>
      </c>
      <c r="R312" s="41">
        <v>378</v>
      </c>
      <c r="S312" s="46">
        <f>ТабПозиции[[#This Row],[totalSumm]]-ТабПозиции[[#This Row],[payment]]</f>
        <v>0</v>
      </c>
      <c r="T312" s="18" t="s">
        <v>580</v>
      </c>
      <c r="U312" s="40" t="s">
        <v>545</v>
      </c>
      <c r="V312" s="40" t="s">
        <v>545</v>
      </c>
      <c r="W312" s="48" t="s">
        <v>545</v>
      </c>
      <c r="X312" s="3"/>
      <c r="Y312"/>
    </row>
    <row r="313" spans="1:25" hidden="1" x14ac:dyDescent="0.25">
      <c r="A313" s="10">
        <v>91</v>
      </c>
      <c r="B313" s="1">
        <f>IFERROR(VLOOKUP(ТабПозиции[[#This Row],[orderNum]],ТабЗаказы[#Data],MATCH(B$7,ТабЗаказы[#Headers],0),0),"")</f>
        <v>45422</v>
      </c>
      <c r="C313" t="str">
        <f>MONTH(ТабПозиции[[#This Row],[date]])&amp;"/"&amp;YEAR(ТабПозиции[[#This Row],[date]])</f>
        <v>5/2024</v>
      </c>
      <c r="D313" s="1" t="str">
        <f>IFERROR(VLOOKUP(ТабПозиции[[#This Row],[orderNum]],ТабЗаказы[#Data],MATCH(D$7,ТабЗаказы[#Headers],0),0),"")</f>
        <v/>
      </c>
      <c r="E313" s="1" t="str">
        <f>IFERROR(VLOOKUP(ТабПозиции[[#This Row],[orderNum]],ТабЗаказы[#Data],MATCH(E$7,ТабЗаказы[#Headers],0),0),"")</f>
        <v/>
      </c>
      <c r="F313" s="16" t="s">
        <v>831</v>
      </c>
      <c r="G313" s="40" t="s">
        <v>545</v>
      </c>
      <c r="I313" s="18">
        <v>45429</v>
      </c>
      <c r="J313" s="10">
        <v>1</v>
      </c>
      <c r="K313" s="10">
        <v>394</v>
      </c>
      <c r="L313">
        <v>394</v>
      </c>
      <c r="M313" s="10">
        <v>426</v>
      </c>
      <c r="N313">
        <f t="shared" si="4"/>
        <v>426</v>
      </c>
      <c r="P3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Row],[orderNum]],ТабПозиции[orderSumm])&gt;1500),ABS(N313*VLOOKUP(ТабПозиции[[#This Row],[orderNum]],ТабЗаказы[#Data],MATCH("Percent",ТабЗаказы[#Headers],0),0))/100,200/COUNTIF(ТабПозиции[orderNum],ТабПозиции[[#This Row],[orderNum]])),0),"")</f>
        <v>64</v>
      </c>
      <c r="Q313">
        <f>IF(OR(ТабПозиции[[#This Row],[item]]="По штрихкоду",ТабПозиции[[#This Row],[item]]="Посылка"),ТабПозиции[[#This Row],[deliverySumm]]+ТабПозиции[[#This Row],[deliveryPost]],SUM(N313:P313))</f>
        <v>490</v>
      </c>
      <c r="R313" s="41">
        <v>490</v>
      </c>
      <c r="S313" s="46">
        <f>ТабПозиции[[#This Row],[totalSumm]]-ТабПозиции[[#This Row],[payment]]</f>
        <v>0</v>
      </c>
      <c r="T313" s="18" t="s">
        <v>580</v>
      </c>
      <c r="U313" s="40" t="s">
        <v>545</v>
      </c>
      <c r="V313" s="40" t="s">
        <v>545</v>
      </c>
      <c r="W313" s="48" t="s">
        <v>545</v>
      </c>
      <c r="X313" s="3"/>
      <c r="Y313"/>
    </row>
    <row r="314" spans="1:25" hidden="1" x14ac:dyDescent="0.25">
      <c r="A314" s="10">
        <v>91</v>
      </c>
      <c r="B314" s="1">
        <f>IFERROR(VLOOKUP(ТабПозиции[[#This Row],[orderNum]],ТабЗаказы[#Data],MATCH(B$7,ТабЗаказы[#Headers],0),0),"")</f>
        <v>45422</v>
      </c>
      <c r="C314" t="str">
        <f>MONTH(ТабПозиции[[#This Row],[date]])&amp;"/"&amp;YEAR(ТабПозиции[[#This Row],[date]])</f>
        <v>5/2024</v>
      </c>
      <c r="D314" s="1" t="str">
        <f>IFERROR(VLOOKUP(ТабПозиции[[#This Row],[orderNum]],ТабЗаказы[#Data],MATCH(D$7,ТабЗаказы[#Headers],0),0),"")</f>
        <v/>
      </c>
      <c r="E314" s="1" t="str">
        <f>IFERROR(VLOOKUP(ТабПозиции[[#This Row],[orderNum]],ТабЗаказы[#Data],MATCH(E$7,ТабЗаказы[#Headers],0),0),"")</f>
        <v/>
      </c>
      <c r="F314" s="16" t="s">
        <v>832</v>
      </c>
      <c r="G314" s="40" t="s">
        <v>545</v>
      </c>
      <c r="I314" s="18">
        <v>45425</v>
      </c>
      <c r="J314" s="10">
        <v>1</v>
      </c>
      <c r="K314" s="10">
        <v>1142</v>
      </c>
      <c r="L314">
        <v>1142</v>
      </c>
      <c r="M314" s="10">
        <v>1177</v>
      </c>
      <c r="N314">
        <f t="shared" si="4"/>
        <v>1177</v>
      </c>
      <c r="P3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Row],[orderNum]],ТабПозиции[orderSumm])&gt;1500),ABS(N314*VLOOKUP(ТабПозиции[[#This Row],[orderNum]],ТабЗаказы[#Data],MATCH("Percent",ТабЗаказы[#Headers],0),0))/100,200/COUNTIF(ТабПозиции[orderNum],ТабПозиции[[#This Row],[orderNum]])),0),"")</f>
        <v>177</v>
      </c>
      <c r="Q314">
        <f>IF(OR(ТабПозиции[[#This Row],[item]]="По штрихкоду",ТабПозиции[[#This Row],[item]]="Посылка"),ТабПозиции[[#This Row],[deliverySumm]]+ТабПозиции[[#This Row],[deliveryPost]],SUM(N314:P314))</f>
        <v>1354</v>
      </c>
      <c r="R314" s="41">
        <v>1354</v>
      </c>
      <c r="S314" s="46">
        <f>ТабПозиции[[#This Row],[totalSumm]]-ТабПозиции[[#This Row],[payment]]</f>
        <v>0</v>
      </c>
      <c r="T314" s="18" t="s">
        <v>580</v>
      </c>
      <c r="U314" s="40" t="s">
        <v>545</v>
      </c>
      <c r="V314" s="40" t="s">
        <v>545</v>
      </c>
      <c r="W314" s="48" t="s">
        <v>545</v>
      </c>
      <c r="X314" s="3"/>
      <c r="Y314"/>
    </row>
    <row r="315" spans="1:25" hidden="1" x14ac:dyDescent="0.25">
      <c r="A315" s="10">
        <v>91</v>
      </c>
      <c r="B315" s="1">
        <f>IFERROR(VLOOKUP(ТабПозиции[[#This Row],[orderNum]],ТабЗаказы[#Data],MATCH(B$7,ТабЗаказы[#Headers],0),0),"")</f>
        <v>45422</v>
      </c>
      <c r="C315" t="str">
        <f>MONTH(ТабПозиции[[#This Row],[date]])&amp;"/"&amp;YEAR(ТабПозиции[[#This Row],[date]])</f>
        <v>5/2024</v>
      </c>
      <c r="D315" s="1" t="str">
        <f>IFERROR(VLOOKUP(ТабПозиции[[#This Row],[orderNum]],ТабЗаказы[#Data],MATCH(D$7,ТабЗаказы[#Headers],0),0),"")</f>
        <v/>
      </c>
      <c r="E315" s="1" t="str">
        <f>IFERROR(VLOOKUP(ТабПозиции[[#This Row],[orderNum]],ТабЗаказы[#Data],MATCH(E$7,ТабЗаказы[#Headers],0),0),"")</f>
        <v/>
      </c>
      <c r="F315" s="16" t="s">
        <v>833</v>
      </c>
      <c r="G315" s="40" t="s">
        <v>545</v>
      </c>
      <c r="I315" s="18">
        <v>45423</v>
      </c>
      <c r="J315" s="10">
        <v>1</v>
      </c>
      <c r="K315" s="10">
        <v>320</v>
      </c>
      <c r="L315">
        <v>320</v>
      </c>
      <c r="M315" s="10">
        <v>327</v>
      </c>
      <c r="N315">
        <f t="shared" si="4"/>
        <v>327</v>
      </c>
      <c r="P3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Row],[orderNum]],ТабПозиции[orderSumm])&gt;1500),ABS(N315*VLOOKUP(ТабПозиции[[#This Row],[orderNum]],ТабЗаказы[#Data],MATCH("Percent",ТабЗаказы[#Headers],0),0))/100,200/COUNTIF(ТабПозиции[orderNum],ТабПозиции[[#This Row],[orderNum]])),0),"")</f>
        <v>49</v>
      </c>
      <c r="Q315">
        <f>IF(OR(ТабПозиции[[#This Row],[item]]="По штрихкоду",ТабПозиции[[#This Row],[item]]="Посылка"),ТабПозиции[[#This Row],[deliverySumm]]+ТабПозиции[[#This Row],[deliveryPost]],SUM(N315:P315))</f>
        <v>376</v>
      </c>
      <c r="R315" s="41">
        <v>376</v>
      </c>
      <c r="S315" s="46">
        <f>ТабПозиции[[#This Row],[totalSumm]]-ТабПозиции[[#This Row],[payment]]</f>
        <v>0</v>
      </c>
      <c r="T315" s="18" t="s">
        <v>580</v>
      </c>
      <c r="U315" s="40" t="s">
        <v>545</v>
      </c>
      <c r="V315" s="40" t="s">
        <v>545</v>
      </c>
      <c r="W315" s="48" t="s">
        <v>545</v>
      </c>
      <c r="X315" s="3"/>
      <c r="Y315"/>
    </row>
    <row r="316" spans="1:25" hidden="1" x14ac:dyDescent="0.25">
      <c r="A316" s="10">
        <v>91</v>
      </c>
      <c r="B316" s="1">
        <f>IFERROR(VLOOKUP(ТабПозиции[[#This Row],[orderNum]],ТабЗаказы[#Data],MATCH(B$7,ТабЗаказы[#Headers],0),0),"")</f>
        <v>45422</v>
      </c>
      <c r="C316" t="str">
        <f>MONTH(ТабПозиции[[#This Row],[date]])&amp;"/"&amp;YEAR(ТабПозиции[[#This Row],[date]])</f>
        <v>5/2024</v>
      </c>
      <c r="D316" s="1" t="str">
        <f>IFERROR(VLOOKUP(ТабПозиции[[#This Row],[orderNum]],ТабЗаказы[#Data],MATCH(D$7,ТабЗаказы[#Headers],0),0),"")</f>
        <v/>
      </c>
      <c r="E316" s="1" t="str">
        <f>IFERROR(VLOOKUP(ТабПозиции[[#This Row],[orderNum]],ТабЗаказы[#Data],MATCH(E$7,ТабЗаказы[#Headers],0),0),"")</f>
        <v/>
      </c>
      <c r="F316" s="16" t="s">
        <v>834</v>
      </c>
      <c r="G316" s="40" t="s">
        <v>545</v>
      </c>
      <c r="I316" s="18">
        <v>45427</v>
      </c>
      <c r="J316" s="10">
        <v>1</v>
      </c>
      <c r="K316" s="10">
        <v>450</v>
      </c>
      <c r="L316">
        <v>450</v>
      </c>
      <c r="M316" s="10">
        <v>459</v>
      </c>
      <c r="N316">
        <f t="shared" si="4"/>
        <v>459</v>
      </c>
      <c r="P3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Row],[orderNum]],ТабПозиции[orderSumm])&gt;1500),ABS(N316*VLOOKUP(ТабПозиции[[#This Row],[orderNum]],ТабЗаказы[#Data],MATCH("Percent",ТабЗаказы[#Headers],0),0))/100,200/COUNTIF(ТабПозиции[orderNum],ТабПозиции[[#This Row],[orderNum]])),0),"")</f>
        <v>69</v>
      </c>
      <c r="Q316">
        <f>IF(OR(ТабПозиции[[#This Row],[item]]="По штрихкоду",ТабПозиции[[#This Row],[item]]="Посылка"),ТабПозиции[[#This Row],[deliverySumm]]+ТабПозиции[[#This Row],[deliveryPost]],SUM(N316:P316))</f>
        <v>528</v>
      </c>
      <c r="R316" s="41">
        <v>528</v>
      </c>
      <c r="S316" s="46">
        <f>ТабПозиции[[#This Row],[totalSumm]]-ТабПозиции[[#This Row],[payment]]</f>
        <v>0</v>
      </c>
      <c r="T316" s="18" t="s">
        <v>580</v>
      </c>
      <c r="U316" s="40" t="s">
        <v>545</v>
      </c>
      <c r="V316" s="40" t="s">
        <v>545</v>
      </c>
      <c r="W316" s="48" t="s">
        <v>545</v>
      </c>
      <c r="X316" s="3"/>
      <c r="Y316"/>
    </row>
    <row r="317" spans="1:25" hidden="1" x14ac:dyDescent="0.25">
      <c r="A317" s="10">
        <v>91</v>
      </c>
      <c r="B317" s="1">
        <f>IFERROR(VLOOKUP(ТабПозиции[[#This Row],[orderNum]],ТабЗаказы[#Data],MATCH(B$7,ТабЗаказы[#Headers],0),0),"")</f>
        <v>45422</v>
      </c>
      <c r="C317" t="str">
        <f>MONTH(ТабПозиции[[#This Row],[date]])&amp;"/"&amp;YEAR(ТабПозиции[[#This Row],[date]])</f>
        <v>5/2024</v>
      </c>
      <c r="D317" s="1" t="str">
        <f>IFERROR(VLOOKUP(ТабПозиции[[#This Row],[orderNum]],ТабЗаказы[#Data],MATCH(D$7,ТабЗаказы[#Headers],0),0),"")</f>
        <v/>
      </c>
      <c r="E317" s="1" t="str">
        <f>IFERROR(VLOOKUP(ТабПозиции[[#This Row],[orderNum]],ТабЗаказы[#Data],MATCH(E$7,ТабЗаказы[#Headers],0),0),"")</f>
        <v/>
      </c>
      <c r="F317" s="16" t="s">
        <v>835</v>
      </c>
      <c r="G317" s="40" t="s">
        <v>545</v>
      </c>
      <c r="I317" s="18">
        <v>45424</v>
      </c>
      <c r="J317" s="10">
        <v>1</v>
      </c>
      <c r="K317" s="10">
        <v>334</v>
      </c>
      <c r="L317">
        <v>334</v>
      </c>
      <c r="M317" s="10">
        <v>341</v>
      </c>
      <c r="N317">
        <f t="shared" si="4"/>
        <v>341</v>
      </c>
      <c r="P3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Row],[orderNum]],ТабПозиции[orderSumm])&gt;1500),ABS(N317*VLOOKUP(ТабПозиции[[#This Row],[orderNum]],ТабЗаказы[#Data],MATCH("Percent",ТабЗаказы[#Headers],0),0))/100,200/COUNTIF(ТабПозиции[orderNum],ТабПозиции[[#This Row],[orderNum]])),0),"")</f>
        <v>51</v>
      </c>
      <c r="Q317">
        <f>IF(OR(ТабПозиции[[#This Row],[item]]="По штрихкоду",ТабПозиции[[#This Row],[item]]="Посылка"),ТабПозиции[[#This Row],[deliverySumm]]+ТабПозиции[[#This Row],[deliveryPost]],SUM(N317:P317))</f>
        <v>392</v>
      </c>
      <c r="R317" s="41">
        <v>392</v>
      </c>
      <c r="S317" s="46">
        <f>ТабПозиции[[#This Row],[totalSumm]]-ТабПозиции[[#This Row],[payment]]</f>
        <v>0</v>
      </c>
      <c r="T317" s="18" t="s">
        <v>580</v>
      </c>
      <c r="U317" s="40" t="s">
        <v>545</v>
      </c>
      <c r="V317" s="40" t="s">
        <v>545</v>
      </c>
      <c r="W317" s="48" t="s">
        <v>545</v>
      </c>
      <c r="X317" s="3"/>
      <c r="Y317"/>
    </row>
    <row r="318" spans="1:25" hidden="1" x14ac:dyDescent="0.25">
      <c r="A318" s="10">
        <v>91</v>
      </c>
      <c r="B318" s="1">
        <f>IFERROR(VLOOKUP(ТабПозиции[[#This Row],[orderNum]],ТабЗаказы[#Data],MATCH(B$7,ТабЗаказы[#Headers],0),0),"")</f>
        <v>45422</v>
      </c>
      <c r="C318" t="str">
        <f>MONTH(ТабПозиции[[#This Row],[date]])&amp;"/"&amp;YEAR(ТабПозиции[[#This Row],[date]])</f>
        <v>5/2024</v>
      </c>
      <c r="D318" s="1" t="str">
        <f>IFERROR(VLOOKUP(ТабПозиции[[#This Row],[orderNum]],ТабЗаказы[#Data],MATCH(D$7,ТабЗаказы[#Headers],0),0),"")</f>
        <v/>
      </c>
      <c r="E318" s="1" t="str">
        <f>IFERROR(VLOOKUP(ТабПозиции[[#This Row],[orderNum]],ТабЗаказы[#Data],MATCH(E$7,ТабЗаказы[#Headers],0),0),"")</f>
        <v/>
      </c>
      <c r="F318" s="16" t="s">
        <v>836</v>
      </c>
      <c r="G318" s="40" t="s">
        <v>545</v>
      </c>
      <c r="I318" s="18">
        <v>45424</v>
      </c>
      <c r="J318" s="10">
        <v>1</v>
      </c>
      <c r="K318" s="10">
        <v>536</v>
      </c>
      <c r="L318">
        <v>536</v>
      </c>
      <c r="M318" s="10">
        <v>576</v>
      </c>
      <c r="N318">
        <f t="shared" si="4"/>
        <v>576</v>
      </c>
      <c r="P3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Row],[orderNum]],ТабПозиции[orderSumm])&gt;1500),ABS(N318*VLOOKUP(ТабПозиции[[#This Row],[orderNum]],ТабЗаказы[#Data],MATCH("Percent",ТабЗаказы[#Headers],0),0))/100,200/COUNTIF(ТабПозиции[orderNum],ТабПозиции[[#This Row],[orderNum]])),0),"")</f>
        <v>86</v>
      </c>
      <c r="Q318">
        <f>IF(OR(ТабПозиции[[#This Row],[item]]="По штрихкоду",ТабПозиции[[#This Row],[item]]="Посылка"),ТабПозиции[[#This Row],[deliverySumm]]+ТабПозиции[[#This Row],[deliveryPost]],SUM(N318:P318))</f>
        <v>662</v>
      </c>
      <c r="R318" s="41">
        <v>662</v>
      </c>
      <c r="S318" s="46">
        <f>ТабПозиции[[#This Row],[totalSumm]]-ТабПозиции[[#This Row],[payment]]</f>
        <v>0</v>
      </c>
      <c r="T318" s="18" t="s">
        <v>580</v>
      </c>
      <c r="U318" s="40" t="s">
        <v>545</v>
      </c>
      <c r="V318" s="40" t="s">
        <v>545</v>
      </c>
      <c r="W318" s="48" t="s">
        <v>545</v>
      </c>
      <c r="X318" s="3"/>
      <c r="Y318"/>
    </row>
    <row r="319" spans="1:25" hidden="1" x14ac:dyDescent="0.25">
      <c r="A319" s="10">
        <v>92</v>
      </c>
      <c r="B319" s="1">
        <f>IFERROR(VLOOKUP(ТабПозиции[[#This Row],[orderNum]],ТабЗаказы[#Data],MATCH(B$7,ТабЗаказы[#Headers],0),0),"")</f>
        <v>45422</v>
      </c>
      <c r="C319" t="str">
        <f>MONTH(ТабПозиции[[#This Row],[date]])&amp;"/"&amp;YEAR(ТабПозиции[[#This Row],[date]])</f>
        <v>5/2024</v>
      </c>
      <c r="D319" s="1" t="str">
        <f>IFERROR(VLOOKUP(ТабПозиции[[#This Row],[orderNum]],ТабЗаказы[#Data],MATCH(D$7,ТабЗаказы[#Headers],0),0),"")</f>
        <v/>
      </c>
      <c r="E319" s="1" t="str">
        <f>IFERROR(VLOOKUP(ТабПозиции[[#This Row],[orderNum]],ТабЗаказы[#Data],MATCH(E$7,ТабЗаказы[#Headers],0),0),"")</f>
        <v/>
      </c>
      <c r="F319" s="16" t="s">
        <v>718</v>
      </c>
      <c r="G319" s="40" t="s">
        <v>545</v>
      </c>
      <c r="I319" s="18">
        <v>45425</v>
      </c>
      <c r="J319" s="10">
        <v>1</v>
      </c>
      <c r="K319" s="10">
        <v>278</v>
      </c>
      <c r="L319">
        <v>278</v>
      </c>
      <c r="M319" s="10">
        <v>284</v>
      </c>
      <c r="N319">
        <f t="shared" si="4"/>
        <v>284</v>
      </c>
      <c r="P3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Row],[orderNum]],ТабПозиции[orderSumm])&gt;1500),ABS(N319*VLOOKUP(ТабПозиции[[#This Row],[orderNum]],ТабЗаказы[#Data],MATCH("Percent",ТабЗаказы[#Headers],0),0))/100,200/COUNTIF(ТабПозиции[orderNum],ТабПозиции[[#This Row],[orderNum]])),0),"")</f>
        <v>43</v>
      </c>
      <c r="Q319">
        <f>IF(OR(ТабПозиции[[#This Row],[item]]="По штрихкоду",ТабПозиции[[#This Row],[item]]="Посылка"),ТабПозиции[[#This Row],[deliverySumm]]+ТабПозиции[[#This Row],[deliveryPost]],SUM(N319:P319))</f>
        <v>327</v>
      </c>
      <c r="R319" s="41">
        <v>327</v>
      </c>
      <c r="S319" s="46">
        <f>ТабПозиции[[#This Row],[totalSumm]]-ТабПозиции[[#This Row],[payment]]</f>
        <v>0</v>
      </c>
      <c r="T319" s="18" t="s">
        <v>580</v>
      </c>
      <c r="U319" s="40" t="s">
        <v>545</v>
      </c>
      <c r="V319" s="40" t="s">
        <v>545</v>
      </c>
      <c r="W319" s="48" t="s">
        <v>545</v>
      </c>
      <c r="X319" s="3"/>
      <c r="Y319"/>
    </row>
    <row r="320" spans="1:25" hidden="1" x14ac:dyDescent="0.25">
      <c r="A320" s="10">
        <v>92</v>
      </c>
      <c r="B320" s="1">
        <f>IFERROR(VLOOKUP(ТабПозиции[[#This Row],[orderNum]],ТабЗаказы[#Data],MATCH(B$7,ТабЗаказы[#Headers],0),0),"")</f>
        <v>45422</v>
      </c>
      <c r="C320" t="str">
        <f>MONTH(ТабПозиции[[#This Row],[date]])&amp;"/"&amp;YEAR(ТабПозиции[[#This Row],[date]])</f>
        <v>5/2024</v>
      </c>
      <c r="D320" s="1" t="str">
        <f>IFERROR(VLOOKUP(ТабПозиции[[#This Row],[orderNum]],ТабЗаказы[#Data],MATCH(D$7,ТабЗаказы[#Headers],0),0),"")</f>
        <v/>
      </c>
      <c r="E320" s="1" t="str">
        <f>IFERROR(VLOOKUP(ТабПозиции[[#This Row],[orderNum]],ТабЗаказы[#Data],MATCH(E$7,ТабЗаказы[#Headers],0),0),"")</f>
        <v/>
      </c>
      <c r="F320" s="16" t="s">
        <v>718</v>
      </c>
      <c r="G320" s="40" t="s">
        <v>545</v>
      </c>
      <c r="I320" s="18">
        <v>45425</v>
      </c>
      <c r="J320" s="10">
        <v>1</v>
      </c>
      <c r="K320" s="10">
        <v>278</v>
      </c>
      <c r="L320">
        <v>278</v>
      </c>
      <c r="M320" s="10">
        <v>284</v>
      </c>
      <c r="N320">
        <f t="shared" si="4"/>
        <v>284</v>
      </c>
      <c r="P3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Row],[orderNum]],ТабПозиции[orderSumm])&gt;1500),ABS(N320*VLOOKUP(ТабПозиции[[#This Row],[orderNum]],ТабЗаказы[#Data],MATCH("Percent",ТабЗаказы[#Headers],0),0))/100,200/COUNTIF(ТабПозиции[orderNum],ТабПозиции[[#This Row],[orderNum]])),0),"")</f>
        <v>43</v>
      </c>
      <c r="Q320">
        <f>IF(OR(ТабПозиции[[#This Row],[item]]="По штрихкоду",ТабПозиции[[#This Row],[item]]="Посылка"),ТабПозиции[[#This Row],[deliverySumm]]+ТабПозиции[[#This Row],[deliveryPost]],SUM(N320:P320))</f>
        <v>327</v>
      </c>
      <c r="R320" s="41">
        <v>327</v>
      </c>
      <c r="S320" s="46">
        <f>ТабПозиции[[#This Row],[totalSumm]]-ТабПозиции[[#This Row],[payment]]</f>
        <v>0</v>
      </c>
      <c r="T320" s="18" t="s">
        <v>580</v>
      </c>
      <c r="U320" s="40" t="s">
        <v>545</v>
      </c>
      <c r="V320" s="40" t="s">
        <v>545</v>
      </c>
      <c r="W320" s="48" t="s">
        <v>545</v>
      </c>
      <c r="X320" s="3"/>
      <c r="Y320"/>
    </row>
    <row r="321" spans="1:25" hidden="1" x14ac:dyDescent="0.25">
      <c r="A321" s="10">
        <v>92</v>
      </c>
      <c r="B321" s="1">
        <f>IFERROR(VLOOKUP(ТабПозиции[[#This Row],[orderNum]],ТабЗаказы[#Data],MATCH(B$7,ТабЗаказы[#Headers],0),0),"")</f>
        <v>45422</v>
      </c>
      <c r="C321" t="str">
        <f>MONTH(ТабПозиции[[#This Row],[date]])&amp;"/"&amp;YEAR(ТабПозиции[[#This Row],[date]])</f>
        <v>5/2024</v>
      </c>
      <c r="D321" s="1" t="str">
        <f>IFERROR(VLOOKUP(ТабПозиции[[#This Row],[orderNum]],ТабЗаказы[#Data],MATCH(D$7,ТабЗаказы[#Headers],0),0),"")</f>
        <v/>
      </c>
      <c r="E321" s="1" t="str">
        <f>IFERROR(VLOOKUP(ТабПозиции[[#This Row],[orderNum]],ТабЗаказы[#Data],MATCH(E$7,ТабЗаказы[#Headers],0),0),"")</f>
        <v/>
      </c>
      <c r="F321" s="16" t="s">
        <v>837</v>
      </c>
      <c r="G321" s="40" t="s">
        <v>545</v>
      </c>
      <c r="I321" s="18">
        <v>45424</v>
      </c>
      <c r="J321" s="10">
        <v>1</v>
      </c>
      <c r="K321" s="10">
        <v>331</v>
      </c>
      <c r="L321">
        <v>331</v>
      </c>
      <c r="M321" s="10">
        <v>338</v>
      </c>
      <c r="N321">
        <f t="shared" si="4"/>
        <v>338</v>
      </c>
      <c r="P3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Row],[orderNum]],ТабПозиции[orderSumm])&gt;1500),ABS(N321*VLOOKUP(ТабПозиции[[#This Row],[orderNum]],ТабЗаказы[#Data],MATCH("Percent",ТабЗаказы[#Headers],0),0))/100,200/COUNTIF(ТабПозиции[orderNum],ТабПозиции[[#This Row],[orderNum]])),0),"")</f>
        <v>51</v>
      </c>
      <c r="Q321">
        <f>IF(OR(ТабПозиции[[#This Row],[item]]="По штрихкоду",ТабПозиции[[#This Row],[item]]="Посылка"),ТабПозиции[[#This Row],[deliverySumm]]+ТабПозиции[[#This Row],[deliveryPost]],SUM(N321:P321))</f>
        <v>389</v>
      </c>
      <c r="R321" s="41">
        <v>389</v>
      </c>
      <c r="S321" s="46">
        <f>ТабПозиции[[#This Row],[totalSumm]]-ТабПозиции[[#This Row],[payment]]</f>
        <v>0</v>
      </c>
      <c r="T321" s="18" t="s">
        <v>580</v>
      </c>
      <c r="U321" s="40" t="s">
        <v>545</v>
      </c>
      <c r="V321" s="40" t="s">
        <v>545</v>
      </c>
      <c r="W321" s="48" t="s">
        <v>545</v>
      </c>
      <c r="X321" s="3"/>
      <c r="Y321"/>
    </row>
    <row r="322" spans="1:25" hidden="1" x14ac:dyDescent="0.25">
      <c r="A322" s="10">
        <v>92</v>
      </c>
      <c r="B322" s="1">
        <f>IFERROR(VLOOKUP(ТабПозиции[[#This Row],[orderNum]],ТабЗаказы[#Data],MATCH(B$7,ТабЗаказы[#Headers],0),0),"")</f>
        <v>45422</v>
      </c>
      <c r="C322" t="str">
        <f>MONTH(ТабПозиции[[#This Row],[date]])&amp;"/"&amp;YEAR(ТабПозиции[[#This Row],[date]])</f>
        <v>5/2024</v>
      </c>
      <c r="D322" s="1" t="str">
        <f>IFERROR(VLOOKUP(ТабПозиции[[#This Row],[orderNum]],ТабЗаказы[#Data],MATCH(D$7,ТабЗаказы[#Headers],0),0),"")</f>
        <v/>
      </c>
      <c r="E322" s="1" t="str">
        <f>IFERROR(VLOOKUP(ТабПозиции[[#This Row],[orderNum]],ТабЗаказы[#Data],MATCH(E$7,ТабЗаказы[#Headers],0),0),"")</f>
        <v/>
      </c>
      <c r="F322" s="16" t="s">
        <v>838</v>
      </c>
      <c r="G322" s="40" t="s">
        <v>545</v>
      </c>
      <c r="I322" s="18">
        <v>45424</v>
      </c>
      <c r="J322" s="10">
        <v>1</v>
      </c>
      <c r="K322" s="10">
        <v>373</v>
      </c>
      <c r="L322">
        <v>373</v>
      </c>
      <c r="M322" s="10">
        <v>381</v>
      </c>
      <c r="N322">
        <f t="shared" si="4"/>
        <v>381</v>
      </c>
      <c r="P3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Row],[orderNum]],ТабПозиции[orderSumm])&gt;1500),ABS(N322*VLOOKUP(ТабПозиции[[#This Row],[orderNum]],ТабЗаказы[#Data],MATCH("Percent",ТабЗаказы[#Headers],0),0))/100,200/COUNTIF(ТабПозиции[orderNum],ТабПозиции[[#This Row],[orderNum]])),0),"")</f>
        <v>57</v>
      </c>
      <c r="Q322">
        <f>IF(OR(ТабПозиции[[#This Row],[item]]="По штрихкоду",ТабПозиции[[#This Row],[item]]="Посылка"),ТабПозиции[[#This Row],[deliverySumm]]+ТабПозиции[[#This Row],[deliveryPost]],SUM(N322:P322))</f>
        <v>438</v>
      </c>
      <c r="R322" s="41">
        <v>438</v>
      </c>
      <c r="S322" s="46">
        <f>ТабПозиции[[#This Row],[totalSumm]]-ТабПозиции[[#This Row],[payment]]</f>
        <v>0</v>
      </c>
      <c r="T322" s="18" t="s">
        <v>580</v>
      </c>
      <c r="U322" s="40" t="s">
        <v>545</v>
      </c>
      <c r="V322" s="40" t="s">
        <v>545</v>
      </c>
      <c r="W322" s="48" t="s">
        <v>545</v>
      </c>
      <c r="X322" s="3"/>
      <c r="Y322"/>
    </row>
    <row r="323" spans="1:25" hidden="1" x14ac:dyDescent="0.25">
      <c r="A323" s="10">
        <v>92</v>
      </c>
      <c r="B323" s="1">
        <f>IFERROR(VLOOKUP(ТабПозиции[[#This Row],[orderNum]],ТабЗаказы[#Data],MATCH(B$7,ТабЗаказы[#Headers],0),0),"")</f>
        <v>45422</v>
      </c>
      <c r="C323" t="str">
        <f>MONTH(ТабПозиции[[#This Row],[date]])&amp;"/"&amp;YEAR(ТабПозиции[[#This Row],[date]])</f>
        <v>5/2024</v>
      </c>
      <c r="D323" s="1" t="str">
        <f>IFERROR(VLOOKUP(ТабПозиции[[#This Row],[orderNum]],ТабЗаказы[#Data],MATCH(D$7,ТабЗаказы[#Headers],0),0),"")</f>
        <v/>
      </c>
      <c r="E323" s="1" t="str">
        <f>IFERROR(VLOOKUP(ТабПозиции[[#This Row],[orderNum]],ТабЗаказы[#Data],MATCH(E$7,ТабЗаказы[#Headers],0),0),"")</f>
        <v/>
      </c>
      <c r="F323" s="16" t="s">
        <v>839</v>
      </c>
      <c r="G323" s="40" t="s">
        <v>545</v>
      </c>
      <c r="I323" s="18">
        <v>45426</v>
      </c>
      <c r="J323" s="10">
        <v>1</v>
      </c>
      <c r="K323" s="10">
        <v>294</v>
      </c>
      <c r="L323">
        <v>294</v>
      </c>
      <c r="M323" s="10">
        <v>294</v>
      </c>
      <c r="N323">
        <f t="shared" si="4"/>
        <v>294</v>
      </c>
      <c r="P3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Row],[orderNum]],ТабПозиции[orderSumm])&gt;1500),ABS(N323*VLOOKUP(ТабПозиции[[#This Row],[orderNum]],ТабЗаказы[#Data],MATCH("Percent",ТабЗаказы[#Headers],0),0))/100,200/COUNTIF(ТабПозиции[orderNum],ТабПозиции[[#This Row],[orderNum]])),0),"")</f>
        <v>44</v>
      </c>
      <c r="Q323">
        <f>IF(OR(ТабПозиции[[#This Row],[item]]="По штрихкоду",ТабПозиции[[#This Row],[item]]="Посылка"),ТабПозиции[[#This Row],[deliverySumm]]+ТабПозиции[[#This Row],[deliveryPost]],SUM(N323:P323))</f>
        <v>338</v>
      </c>
      <c r="R323" s="41">
        <v>338</v>
      </c>
      <c r="S323" s="46">
        <f>ТабПозиции[[#This Row],[totalSumm]]-ТабПозиции[[#This Row],[payment]]</f>
        <v>0</v>
      </c>
      <c r="T323" s="18" t="s">
        <v>580</v>
      </c>
      <c r="U323" s="40" t="s">
        <v>545</v>
      </c>
      <c r="V323" s="40" t="s">
        <v>545</v>
      </c>
      <c r="W323" s="48" t="s">
        <v>545</v>
      </c>
      <c r="X323" s="3"/>
      <c r="Y323"/>
    </row>
    <row r="324" spans="1:25" hidden="1" x14ac:dyDescent="0.25">
      <c r="A324" s="10">
        <v>93</v>
      </c>
      <c r="B324" s="1">
        <f>IFERROR(VLOOKUP(ТабПозиции[[#This Row],[orderNum]],ТабЗаказы[#Data],MATCH(B$7,ТабЗаказы[#Headers],0),0),"")</f>
        <v>45422</v>
      </c>
      <c r="C324" t="str">
        <f>MONTH(ТабПозиции[[#This Row],[date]])&amp;"/"&amp;YEAR(ТабПозиции[[#This Row],[date]])</f>
        <v>5/2024</v>
      </c>
      <c r="D324" s="1" t="str">
        <f>IFERROR(VLOOKUP(ТабПозиции[[#This Row],[orderNum]],ТабЗаказы[#Data],MATCH(D$7,ТабЗаказы[#Headers],0),0),"")</f>
        <v/>
      </c>
      <c r="E324" s="1" t="str">
        <f>IFERROR(VLOOKUP(ТабПозиции[[#This Row],[orderNum]],ТабЗаказы[#Data],MATCH(E$7,ТабЗаказы[#Headers],0),0),"")</f>
        <v/>
      </c>
      <c r="F324" s="10" t="s">
        <v>32</v>
      </c>
      <c r="G324" s="40" t="s">
        <v>545</v>
      </c>
      <c r="I324" s="18">
        <v>45422</v>
      </c>
      <c r="J324" s="10">
        <v>1</v>
      </c>
      <c r="K324" s="10">
        <v>6634</v>
      </c>
      <c r="L324">
        <v>6634</v>
      </c>
      <c r="M324" s="10">
        <v>6634</v>
      </c>
      <c r="N324">
        <f t="shared" si="4"/>
        <v>6634</v>
      </c>
      <c r="P3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Row],[orderNum]],ТабПозиции[orderSumm])&gt;1500),ABS(N324*VLOOKUP(ТабПозиции[[#This Row],[orderNum]],ТабЗаказы[#Data],MATCH("Percent",ТабЗаказы[#Headers],0),0))/100,200/COUNTIF(ТабПозиции[orderNum],ТабПозиции[[#This Row],[orderNum]])),0),"")</f>
        <v>663</v>
      </c>
      <c r="Q324">
        <f>IF(OR(ТабПозиции[[#This Row],[item]]="По штрихкоду",ТабПозиции[[#This Row],[item]]="Посылка"),ТабПозиции[[#This Row],[deliverySumm]]+ТабПозиции[[#This Row],[deliveryPost]],SUM(N324:P324))</f>
        <v>663</v>
      </c>
      <c r="R324" s="41">
        <v>663</v>
      </c>
      <c r="S324" s="46">
        <f>ТабПозиции[[#This Row],[totalSumm]]-ТабПозиции[[#This Row],[payment]]</f>
        <v>0</v>
      </c>
      <c r="T324" s="18" t="s">
        <v>563</v>
      </c>
      <c r="U324" s="40" t="s">
        <v>545</v>
      </c>
      <c r="V324" s="40" t="s">
        <v>545</v>
      </c>
      <c r="W324" s="40" t="s">
        <v>545</v>
      </c>
      <c r="X324" s="3"/>
      <c r="Y324"/>
    </row>
    <row r="325" spans="1:25" hidden="1" x14ac:dyDescent="0.25">
      <c r="A325" s="10">
        <v>94</v>
      </c>
      <c r="B325" s="1">
        <f>IFERROR(VLOOKUP(ТабПозиции[[#This Row],[orderNum]],ТабЗаказы[#Data],MATCH(B$7,ТабЗаказы[#Headers],0),0),"")</f>
        <v>45422</v>
      </c>
      <c r="C325" t="str">
        <f>MONTH(ТабПозиции[[#This Row],[date]])&amp;"/"&amp;YEAR(ТабПозиции[[#This Row],[date]])</f>
        <v>5/2024</v>
      </c>
      <c r="D325" s="1" t="str">
        <f>IFERROR(VLOOKUP(ТабПозиции[[#This Row],[orderNum]],ТабЗаказы[#Data],MATCH(D$7,ТабЗаказы[#Headers],0),0),"")</f>
        <v/>
      </c>
      <c r="E325" s="1" t="str">
        <f>IFERROR(VLOOKUP(ТабПозиции[[#This Row],[orderNum]],ТабЗаказы[#Data],MATCH(E$7,ТабЗаказы[#Headers],0),0),"")</f>
        <v/>
      </c>
      <c r="F325" s="10" t="s">
        <v>32</v>
      </c>
      <c r="G325" s="40" t="s">
        <v>545</v>
      </c>
      <c r="I325" s="18">
        <v>45422</v>
      </c>
      <c r="J325" s="10">
        <v>1</v>
      </c>
      <c r="K325" s="10">
        <v>667</v>
      </c>
      <c r="L325">
        <v>667</v>
      </c>
      <c r="M325" s="10">
        <v>667</v>
      </c>
      <c r="N325">
        <f t="shared" si="4"/>
        <v>667</v>
      </c>
      <c r="P3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Row],[orderNum]],ТабПозиции[orderSumm])&gt;1500),ABS(N325*VLOOKUP(ТабПозиции[[#This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325">
        <f>IF(OR(ТабПозиции[[#This Row],[item]]="По штрихкоду",ТабПозиции[[#This Row],[item]]="Посылка"),ТабПозиции[[#This Row],[deliverySumm]]+ТабПозиции[[#This Row],[deliveryPost]],SUM(N325:P325))</f>
        <v>200</v>
      </c>
      <c r="R325" s="41">
        <v>200</v>
      </c>
      <c r="S325" s="46">
        <f>ТабПозиции[[#This Row],[totalSumm]]-ТабПозиции[[#This Row],[payment]]</f>
        <v>0</v>
      </c>
      <c r="T325" s="18" t="s">
        <v>580</v>
      </c>
      <c r="U325" s="40" t="s">
        <v>545</v>
      </c>
      <c r="V325" s="40" t="s">
        <v>545</v>
      </c>
      <c r="W325" s="40" t="s">
        <v>545</v>
      </c>
      <c r="X325" s="3"/>
      <c r="Y325"/>
    </row>
    <row r="326" spans="1:25" hidden="1" x14ac:dyDescent="0.25">
      <c r="A326" s="10">
        <v>92</v>
      </c>
      <c r="B326" s="1">
        <f>IFERROR(VLOOKUP(ТабПозиции[[#This Row],[orderNum]],ТабЗаказы[#Data],MATCH(B$7,ТабЗаказы[#Headers],0),0),"")</f>
        <v>45422</v>
      </c>
      <c r="C326" t="str">
        <f>MONTH(ТабПозиции[[#This Row],[date]])&amp;"/"&amp;YEAR(ТабПозиции[[#This Row],[date]])</f>
        <v>5/2024</v>
      </c>
      <c r="D326" s="1" t="str">
        <f>IFERROR(VLOOKUP(ТабПозиции[[#This Row],[orderNum]],ТабЗаказы[#Data],MATCH(D$7,ТабЗаказы[#Headers],0),0),"")</f>
        <v/>
      </c>
      <c r="E326" s="1" t="str">
        <f>IFERROR(VLOOKUP(ТабПозиции[[#This Row],[orderNum]],ТабЗаказы[#Data],MATCH(E$7,ТабЗаказы[#Headers],0),0),"")</f>
        <v/>
      </c>
      <c r="F326" s="10" t="s">
        <v>727</v>
      </c>
      <c r="G326" s="40" t="s">
        <v>545</v>
      </c>
      <c r="I326" s="18">
        <v>45427</v>
      </c>
      <c r="J326" s="10">
        <v>1</v>
      </c>
      <c r="K326" s="10">
        <v>2240</v>
      </c>
      <c r="L326">
        <v>2240</v>
      </c>
      <c r="M326" s="10">
        <v>2399</v>
      </c>
      <c r="N326">
        <f t="shared" si="4"/>
        <v>2399</v>
      </c>
      <c r="P3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Row],[orderNum]],ТабПозиции[orderSumm])&gt;1500),ABS(N326*VLOOKUP(ТабПозиции[[#This Row],[orderNum]],ТабЗаказы[#Data],MATCH("Percent",ТабЗаказы[#Headers],0),0))/100,200/COUNTIF(ТабПозиции[orderNum],ТабПозиции[[#This Row],[orderNum]])),0),"")</f>
        <v>360</v>
      </c>
      <c r="Q326">
        <f>IF(OR(ТабПозиции[[#This Row],[item]]="По штрихкоду",ТабПозиции[[#This Row],[item]]="Посылка"),ТабПозиции[[#This Row],[deliverySumm]]+ТабПозиции[[#This Row],[deliveryPost]],SUM(N326:P326))</f>
        <v>2759</v>
      </c>
      <c r="R326" s="41">
        <v>2759</v>
      </c>
      <c r="S326" s="46">
        <f>ТабПозиции[[#This Row],[totalSumm]]-ТабПозиции[[#This Row],[payment]]</f>
        <v>0</v>
      </c>
      <c r="T326" s="18" t="s">
        <v>580</v>
      </c>
      <c r="U326" s="40" t="s">
        <v>545</v>
      </c>
      <c r="V326" s="40" t="s">
        <v>545</v>
      </c>
      <c r="W326" s="48" t="s">
        <v>545</v>
      </c>
      <c r="X326" s="3"/>
      <c r="Y326"/>
    </row>
    <row r="327" spans="1:25" hidden="1" x14ac:dyDescent="0.25">
      <c r="A327" s="10">
        <v>95</v>
      </c>
      <c r="B327" s="1">
        <f>IFERROR(VLOOKUP(ТабПозиции[[#This Row],[orderNum]],ТабЗаказы[#Data],MATCH(B$7,ТабЗаказы[#Headers],0),0),"")</f>
        <v>45423</v>
      </c>
      <c r="C327" t="str">
        <f>MONTH(ТабПозиции[[#This Row],[date]])&amp;"/"&amp;YEAR(ТабПозиции[[#This Row],[date]])</f>
        <v>5/2024</v>
      </c>
      <c r="D327" s="1" t="str">
        <f>IFERROR(VLOOKUP(ТабПозиции[[#This Row],[orderNum]],ТабЗаказы[#Data],MATCH(D$7,ТабЗаказы[#Headers],0),0),"")</f>
        <v/>
      </c>
      <c r="E327" s="1" t="str">
        <f>IFERROR(VLOOKUP(ТабПозиции[[#This Row],[orderNum]],ТабЗаказы[#Data],MATCH(E$7,ТабЗаказы[#Headers],0),0),"")</f>
        <v/>
      </c>
      <c r="F327" s="16" t="s">
        <v>840</v>
      </c>
      <c r="G327" s="40" t="s">
        <v>545</v>
      </c>
      <c r="I327" s="18">
        <v>45425</v>
      </c>
      <c r="J327" s="10">
        <v>1</v>
      </c>
      <c r="K327" s="10">
        <v>679</v>
      </c>
      <c r="L327">
        <v>679</v>
      </c>
      <c r="M327" s="10">
        <v>708</v>
      </c>
      <c r="N327">
        <f t="shared" si="4"/>
        <v>708</v>
      </c>
      <c r="P3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Row],[orderNum]],ТабПозиции[orderSumm])&gt;1500),ABS(N327*VLOOKUP(ТабПозиции[[#This Row],[orderNum]],ТабЗаказы[#Data],MATCH("Percent",ТабЗаказы[#Headers],0),0))/100,200/COUNTIF(ТабПозиции[orderNum],ТабПозиции[[#This Row],[orderNum]])),0),"")</f>
        <v>106</v>
      </c>
      <c r="Q327">
        <f>IF(OR(ТабПозиции[[#This Row],[item]]="По штрихкоду",ТабПозиции[[#This Row],[item]]="Посылка"),ТабПозиции[[#This Row],[deliverySumm]]+ТабПозиции[[#This Row],[deliveryPost]],SUM(N327:P327))</f>
        <v>814</v>
      </c>
      <c r="R327" s="41">
        <v>814</v>
      </c>
      <c r="S327" s="46">
        <f>ТабПозиции[[#This Row],[totalSumm]]-ТабПозиции[[#This Row],[payment]]</f>
        <v>0</v>
      </c>
      <c r="T327" s="18" t="s">
        <v>563</v>
      </c>
      <c r="U327" s="40" t="s">
        <v>545</v>
      </c>
      <c r="V327" s="40" t="s">
        <v>545</v>
      </c>
      <c r="W327" s="48" t="s">
        <v>545</v>
      </c>
      <c r="X327" s="3"/>
      <c r="Y327"/>
    </row>
    <row r="328" spans="1:25" hidden="1" x14ac:dyDescent="0.25">
      <c r="A328" s="10">
        <v>95</v>
      </c>
      <c r="B328" s="1">
        <f>IFERROR(VLOOKUP(ТабПозиции[[#This Row],[orderNum]],ТабЗаказы[#Data],MATCH(B$7,ТабЗаказы[#Headers],0),0),"")</f>
        <v>45423</v>
      </c>
      <c r="C328" t="str">
        <f>MONTH(ТабПозиции[[#This Row],[date]])&amp;"/"&amp;YEAR(ТабПозиции[[#This Row],[date]])</f>
        <v>5/2024</v>
      </c>
      <c r="D328" s="1" t="str">
        <f>IFERROR(VLOOKUP(ТабПозиции[[#This Row],[orderNum]],ТабЗаказы[#Data],MATCH(D$7,ТабЗаказы[#Headers],0),0),"")</f>
        <v/>
      </c>
      <c r="E328" s="1" t="str">
        <f>IFERROR(VLOOKUP(ТабПозиции[[#This Row],[orderNum]],ТабЗаказы[#Data],MATCH(E$7,ТабЗаказы[#Headers],0),0),"")</f>
        <v/>
      </c>
      <c r="F328" s="16" t="s">
        <v>841</v>
      </c>
      <c r="G328" s="40" t="s">
        <v>545</v>
      </c>
      <c r="I328" s="18">
        <v>45425</v>
      </c>
      <c r="J328" s="10">
        <v>2</v>
      </c>
      <c r="K328" s="10">
        <v>295</v>
      </c>
      <c r="L328">
        <v>590</v>
      </c>
      <c r="M328" s="10">
        <v>308</v>
      </c>
      <c r="N328">
        <f t="shared" si="4"/>
        <v>616</v>
      </c>
      <c r="P3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Row],[orderNum]],ТабПозиции[orderSumm])&gt;1500),ABS(N328*VLOOKUP(ТабПозиции[[#This Row],[orderNum]],ТабЗаказы[#Data],MATCH("Percent",ТабЗаказы[#Headers],0),0))/100,200/COUNTIF(ТабПозиции[orderNum],ТабПозиции[[#This Row],[orderNum]])),0),"")</f>
        <v>92</v>
      </c>
      <c r="Q328">
        <f>IF(OR(ТабПозиции[[#This Row],[item]]="По штрихкоду",ТабПозиции[[#This Row],[item]]="Посылка"),ТабПозиции[[#This Row],[deliverySumm]]+ТабПозиции[[#This Row],[deliveryPost]],SUM(N328:P328))</f>
        <v>708</v>
      </c>
      <c r="R328" s="41">
        <v>708</v>
      </c>
      <c r="S328" s="46">
        <f>ТабПозиции[[#This Row],[totalSumm]]-ТабПозиции[[#This Row],[payment]]</f>
        <v>0</v>
      </c>
      <c r="T328" s="18" t="s">
        <v>563</v>
      </c>
      <c r="U328" s="40" t="s">
        <v>545</v>
      </c>
      <c r="V328" s="40" t="s">
        <v>545</v>
      </c>
      <c r="W328" s="48" t="s">
        <v>545</v>
      </c>
      <c r="X328" s="3"/>
      <c r="Y328"/>
    </row>
    <row r="329" spans="1:25" hidden="1" x14ac:dyDescent="0.25">
      <c r="A329" s="10">
        <v>95</v>
      </c>
      <c r="B329" s="1">
        <f>IFERROR(VLOOKUP(ТабПозиции[[#This Row],[orderNum]],ТабЗаказы[#Data],MATCH(B$7,ТабЗаказы[#Headers],0),0),"")</f>
        <v>45423</v>
      </c>
      <c r="C329" t="str">
        <f>MONTH(ТабПозиции[[#This Row],[date]])&amp;"/"&amp;YEAR(ТабПозиции[[#This Row],[date]])</f>
        <v>5/2024</v>
      </c>
      <c r="D329" s="1" t="str">
        <f>IFERROR(VLOOKUP(ТабПозиции[[#This Row],[orderNum]],ТабЗаказы[#Data],MATCH(D$7,ТабЗаказы[#Headers],0),0),"")</f>
        <v/>
      </c>
      <c r="E329" s="1" t="str">
        <f>IFERROR(VLOOKUP(ТабПозиции[[#This Row],[orderNum]],ТабЗаказы[#Data],MATCH(E$7,ТабЗаказы[#Headers],0),0),"")</f>
        <v/>
      </c>
      <c r="F329" s="16" t="s">
        <v>842</v>
      </c>
      <c r="G329" s="40" t="s">
        <v>545</v>
      </c>
      <c r="I329" s="18">
        <v>45426</v>
      </c>
      <c r="J329" s="10">
        <v>1</v>
      </c>
      <c r="K329" s="10">
        <v>525</v>
      </c>
      <c r="L329">
        <v>525</v>
      </c>
      <c r="M329" s="10">
        <v>570</v>
      </c>
      <c r="N329">
        <f t="shared" si="4"/>
        <v>570</v>
      </c>
      <c r="P3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Row],[orderNum]],ТабПозиции[orderSumm])&gt;1500),ABS(N329*VLOOKUP(ТабПозиции[[#This Row],[orderNum]],ТабЗаказы[#Data],MATCH("Percent",ТабЗаказы[#Headers],0),0))/100,200/COUNTIF(ТабПозиции[orderNum],ТабПозиции[[#This Row],[orderNum]])),0),"")</f>
        <v>86</v>
      </c>
      <c r="Q329">
        <f>IF(OR(ТабПозиции[[#This Row],[item]]="По штрихкоду",ТабПозиции[[#This Row],[item]]="Посылка"),ТабПозиции[[#This Row],[deliverySumm]]+ТабПозиции[[#This Row],[deliveryPost]],SUM(N329:P329))</f>
        <v>656</v>
      </c>
      <c r="R329" s="41">
        <v>656</v>
      </c>
      <c r="S329" s="46">
        <f>ТабПозиции[[#This Row],[totalSumm]]-ТабПозиции[[#This Row],[payment]]</f>
        <v>0</v>
      </c>
      <c r="T329" s="18" t="s">
        <v>580</v>
      </c>
      <c r="U329" s="40" t="s">
        <v>545</v>
      </c>
      <c r="V329" s="40" t="s">
        <v>545</v>
      </c>
      <c r="W329" s="48" t="s">
        <v>545</v>
      </c>
      <c r="X329" s="3"/>
      <c r="Y329"/>
    </row>
    <row r="330" spans="1:25" hidden="1" x14ac:dyDescent="0.25">
      <c r="A330" s="10">
        <v>95</v>
      </c>
      <c r="B330" s="1">
        <f>IFERROR(VLOOKUP(ТабПозиции[[#This Row],[orderNum]],ТабЗаказы[#Data],MATCH(B$7,ТабЗаказы[#Headers],0),0),"")</f>
        <v>45423</v>
      </c>
      <c r="C330" t="str">
        <f>MONTH(ТабПозиции[[#This Row],[date]])&amp;"/"&amp;YEAR(ТабПозиции[[#This Row],[date]])</f>
        <v>5/2024</v>
      </c>
      <c r="D330" s="1" t="str">
        <f>IFERROR(VLOOKUP(ТабПозиции[[#This Row],[orderNum]],ТабЗаказы[#Data],MATCH(D$7,ТабЗаказы[#Headers],0),0),"")</f>
        <v/>
      </c>
      <c r="E330" s="1" t="str">
        <f>IFERROR(VLOOKUP(ТабПозиции[[#This Row],[orderNum]],ТабЗаказы[#Data],MATCH(E$7,ТабЗаказы[#Headers],0),0),"")</f>
        <v/>
      </c>
      <c r="F330" s="16" t="s">
        <v>843</v>
      </c>
      <c r="G330" s="40" t="s">
        <v>545</v>
      </c>
      <c r="I330" s="18">
        <v>45430</v>
      </c>
      <c r="J330" s="10">
        <v>1</v>
      </c>
      <c r="K330" s="10">
        <v>1149</v>
      </c>
      <c r="L330">
        <v>1149</v>
      </c>
      <c r="M330" s="10">
        <v>1245</v>
      </c>
      <c r="N330">
        <f t="shared" si="4"/>
        <v>1245</v>
      </c>
      <c r="P3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Row],[orderNum]],ТабПозиции[orderSumm])&gt;1500),ABS(N330*VLOOKUP(ТабПозиции[[#This Row],[orderNum]],ТабЗаказы[#Data],MATCH("Percent",ТабЗаказы[#Headers],0),0))/100,200/COUNTIF(ТабПозиции[orderNum],ТабПозиции[[#This Row],[orderNum]])),0),"")</f>
        <v>187</v>
      </c>
      <c r="Q330">
        <f>IF(OR(ТабПозиции[[#This Row],[item]]="По штрихкоду",ТабПозиции[[#This Row],[item]]="Посылка"),ТабПозиции[[#This Row],[deliverySumm]]+ТабПозиции[[#This Row],[deliveryPost]],SUM(N330:P330))</f>
        <v>1432</v>
      </c>
      <c r="R330" s="41">
        <v>1432</v>
      </c>
      <c r="S330" s="46">
        <f>ТабПозиции[[#This Row],[totalSumm]]-ТабПозиции[[#This Row],[payment]]</f>
        <v>0</v>
      </c>
      <c r="T330" s="18" t="s">
        <v>580</v>
      </c>
      <c r="U330" s="40" t="s">
        <v>545</v>
      </c>
      <c r="V330" s="40" t="s">
        <v>545</v>
      </c>
      <c r="W330" s="48" t="s">
        <v>545</v>
      </c>
      <c r="X330" s="3"/>
      <c r="Y330"/>
    </row>
    <row r="331" spans="1:25" hidden="1" x14ac:dyDescent="0.25">
      <c r="A331" s="10">
        <v>88</v>
      </c>
      <c r="B331" s="1">
        <f>IFERROR(VLOOKUP(ТабПозиции[[#This Row],[orderNum]],ТабЗаказы[#Data],MATCH(B$7,ТабЗаказы[#Headers],0),0),"")</f>
        <v>45418</v>
      </c>
      <c r="C331" t="str">
        <f>MONTH(ТабПозиции[[#This Row],[date]])&amp;"/"&amp;YEAR(ТабПозиции[[#This Row],[date]])</f>
        <v>5/2024</v>
      </c>
      <c r="D331" s="1" t="str">
        <f>IFERROR(VLOOKUP(ТабПозиции[[#This Row],[orderNum]],ТабЗаказы[#Data],MATCH(D$7,ТабЗаказы[#Headers],0),0),"")</f>
        <v/>
      </c>
      <c r="E331" s="1" t="str">
        <f>IFERROR(VLOOKUP(ТабПозиции[[#This Row],[orderNum]],ТабЗаказы[#Data],MATCH(E$7,ТабЗаказы[#Headers],0),0),"")</f>
        <v/>
      </c>
      <c r="F331" s="10" t="s">
        <v>844</v>
      </c>
      <c r="G331" s="40" t="s">
        <v>545</v>
      </c>
      <c r="I331" s="18">
        <v>45422</v>
      </c>
      <c r="J331" s="10">
        <v>1</v>
      </c>
      <c r="K331" s="10">
        <v>258</v>
      </c>
      <c r="L331">
        <v>258</v>
      </c>
      <c r="M331" s="10">
        <v>269</v>
      </c>
      <c r="N331">
        <f t="shared" si="4"/>
        <v>269</v>
      </c>
      <c r="P3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Row],[orderNum]],ТабПозиции[orderSumm])&gt;1500),ABS(N331*VLOOKUP(ТабПозиции[[#This Row],[orderNum]],ТабЗаказы[#Data],MATCH("Percent",ТабЗаказы[#Headers],0),0))/100,200/COUNTIF(ТабПозиции[orderNum],ТабПозиции[[#This Row],[orderNum]])),0),"")</f>
        <v>27</v>
      </c>
      <c r="Q331">
        <f>IF(OR(ТабПозиции[[#This Row],[item]]="По штрихкоду",ТабПозиции[[#This Row],[item]]="Посылка"),ТабПозиции[[#This Row],[deliverySumm]]+ТабПозиции[[#This Row],[deliveryPost]],SUM(N331:P331))</f>
        <v>296</v>
      </c>
      <c r="R331" s="41">
        <v>296</v>
      </c>
      <c r="S331" s="46">
        <f>ТабПозиции[[#This Row],[totalSumm]]-ТабПозиции[[#This Row],[payment]]</f>
        <v>0</v>
      </c>
      <c r="T331" s="18" t="s">
        <v>580</v>
      </c>
      <c r="U331" s="40" t="s">
        <v>545</v>
      </c>
      <c r="V331" s="40" t="s">
        <v>545</v>
      </c>
      <c r="W331" s="40" t="s">
        <v>545</v>
      </c>
      <c r="X331" s="3"/>
      <c r="Y331"/>
    </row>
    <row r="332" spans="1:25" hidden="1" x14ac:dyDescent="0.25">
      <c r="A332" s="10">
        <v>96</v>
      </c>
      <c r="B332" s="1">
        <f>IFERROR(VLOOKUP(ТабПозиции[[#This Row],[orderNum]],ТабЗаказы[#Data],MATCH(B$7,ТабЗаказы[#Headers],0),0),"")</f>
        <v>45423</v>
      </c>
      <c r="C332" t="str">
        <f>MONTH(ТабПозиции[[#This Row],[date]])&amp;"/"&amp;YEAR(ТабПозиции[[#This Row],[date]])</f>
        <v>5/2024</v>
      </c>
      <c r="D332" s="1" t="str">
        <f>IFERROR(VLOOKUP(ТабПозиции[[#This Row],[orderNum]],ТабЗаказы[#Data],MATCH(D$7,ТабЗаказы[#Headers],0),0),"")</f>
        <v/>
      </c>
      <c r="E332" s="1" t="str">
        <f>IFERROR(VLOOKUP(ТабПозиции[[#This Row],[orderNum]],ТабЗаказы[#Data],MATCH(E$7,ТабЗаказы[#Headers],0),0),"")</f>
        <v/>
      </c>
      <c r="F332" s="16" t="s">
        <v>845</v>
      </c>
      <c r="G332" s="40" t="s">
        <v>545</v>
      </c>
      <c r="I332" s="18">
        <v>45426</v>
      </c>
      <c r="J332" s="10">
        <v>1</v>
      </c>
      <c r="K332" s="10">
        <v>369</v>
      </c>
      <c r="L332">
        <v>369</v>
      </c>
      <c r="M332" s="10">
        <v>385</v>
      </c>
      <c r="N332">
        <f t="shared" ref="N332:N351" si="5">M332*J332</f>
        <v>385</v>
      </c>
      <c r="P3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Row],[orderNum]],ТабПозиции[orderSumm])&gt;1500),ABS(N332*VLOOKUP(ТабПозиции[[#This Row],[orderNum]],ТабЗаказы[#Data],MATCH("Percent",ТабЗаказы[#Headers],0),0))/100,200/COUNTIF(ТабПозиции[orderNum],ТабПозиции[[#This Row],[orderNum]])),0),"")</f>
        <v>58</v>
      </c>
      <c r="Q332">
        <f>IF(OR(ТабПозиции[[#This Row],[item]]="По штрихкоду",ТабПозиции[[#This Row],[item]]="Посылка"),ТабПозиции[[#This Row],[deliverySumm]]+ТабПозиции[[#This Row],[deliveryPost]],SUM(N332:P332))</f>
        <v>443</v>
      </c>
      <c r="R332" s="41">
        <v>443</v>
      </c>
      <c r="S332" s="46">
        <f>ТабПозиции[[#This Row],[totalSumm]]-ТабПозиции[[#This Row],[payment]]</f>
        <v>0</v>
      </c>
      <c r="T332" s="18" t="s">
        <v>563</v>
      </c>
      <c r="U332" s="40" t="s">
        <v>545</v>
      </c>
      <c r="V332" s="40" t="s">
        <v>545</v>
      </c>
      <c r="W332" s="48" t="s">
        <v>545</v>
      </c>
      <c r="X332" s="3"/>
      <c r="Y332"/>
    </row>
    <row r="333" spans="1:25" hidden="1" x14ac:dyDescent="0.25">
      <c r="A333" s="10">
        <v>96</v>
      </c>
      <c r="B333" s="1">
        <f>IFERROR(VLOOKUP(ТабПозиции[[#This Row],[orderNum]],ТабЗаказы[#Data],MATCH(B$7,ТабЗаказы[#Headers],0),0),"")</f>
        <v>45423</v>
      </c>
      <c r="C333" t="str">
        <f>MONTH(ТабПозиции[[#This Row],[date]])&amp;"/"&amp;YEAR(ТабПозиции[[#This Row],[date]])</f>
        <v>5/2024</v>
      </c>
      <c r="D333" s="1" t="str">
        <f>IFERROR(VLOOKUP(ТабПозиции[[#This Row],[orderNum]],ТабЗаказы[#Data],MATCH(D$7,ТабЗаказы[#Headers],0),0),"")</f>
        <v/>
      </c>
      <c r="E333" s="1" t="str">
        <f>IFERROR(VLOOKUP(ТабПозиции[[#This Row],[orderNum]],ТабЗаказы[#Data],MATCH(E$7,ТабЗаказы[#Headers],0),0),"")</f>
        <v/>
      </c>
      <c r="F333" s="16" t="s">
        <v>846</v>
      </c>
      <c r="G333" s="40" t="s">
        <v>545</v>
      </c>
      <c r="I333" s="18">
        <v>45427</v>
      </c>
      <c r="J333" s="10">
        <v>1</v>
      </c>
      <c r="K333" s="10">
        <v>525</v>
      </c>
      <c r="L333">
        <v>525</v>
      </c>
      <c r="M333" s="10">
        <v>547</v>
      </c>
      <c r="N333">
        <f t="shared" si="5"/>
        <v>547</v>
      </c>
      <c r="P3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Row],[orderNum]],ТабПозиции[orderSumm])&gt;1500),ABS(N333*VLOOKUP(ТабПозиции[[#This Row],[orderNum]],ТабЗаказы[#Data],MATCH("Percent",ТабЗаказы[#Headers],0),0))/100,200/COUNTIF(ТабПозиции[orderNum],ТабПозиции[[#This Row],[orderNum]])),0),"")</f>
        <v>82</v>
      </c>
      <c r="Q333">
        <f>IF(OR(ТабПозиции[[#This Row],[item]]="По штрихкоду",ТабПозиции[[#This Row],[item]]="Посылка"),ТабПозиции[[#This Row],[deliverySumm]]+ТабПозиции[[#This Row],[deliveryPost]],SUM(N333:P333))</f>
        <v>629</v>
      </c>
      <c r="R333" s="41">
        <v>629</v>
      </c>
      <c r="S333" s="46">
        <f>ТабПозиции[[#This Row],[totalSumm]]-ТабПозиции[[#This Row],[payment]]</f>
        <v>0</v>
      </c>
      <c r="T333" s="18" t="s">
        <v>563</v>
      </c>
      <c r="U333" s="40" t="s">
        <v>545</v>
      </c>
      <c r="V333" s="40" t="s">
        <v>545</v>
      </c>
      <c r="W333" s="48" t="s">
        <v>545</v>
      </c>
      <c r="X333" s="3"/>
      <c r="Y333"/>
    </row>
    <row r="334" spans="1:25" hidden="1" x14ac:dyDescent="0.25">
      <c r="A334" s="10">
        <v>96</v>
      </c>
      <c r="B334" s="1">
        <f>IFERROR(VLOOKUP(ТабПозиции[[#This Row],[orderNum]],ТабЗаказы[#Data],MATCH(B$7,ТабЗаказы[#Headers],0),0),"")</f>
        <v>45423</v>
      </c>
      <c r="C334" t="str">
        <f>MONTH(ТабПозиции[[#This Row],[date]])&amp;"/"&amp;YEAR(ТабПозиции[[#This Row],[date]])</f>
        <v>5/2024</v>
      </c>
      <c r="D334" s="1" t="str">
        <f>IFERROR(VLOOKUP(ТабПозиции[[#This Row],[orderNum]],ТабЗаказы[#Data],MATCH(D$7,ТабЗаказы[#Headers],0),0),"")</f>
        <v/>
      </c>
      <c r="E334" s="1" t="str">
        <f>IFERROR(VLOOKUP(ТабПозиции[[#This Row],[orderNum]],ТабЗаказы[#Data],MATCH(E$7,ТабЗаказы[#Headers],0),0),"")</f>
        <v/>
      </c>
      <c r="F334" s="16" t="s">
        <v>847</v>
      </c>
      <c r="G334" s="40" t="s">
        <v>545</v>
      </c>
      <c r="I334" s="18">
        <v>45426</v>
      </c>
      <c r="J334" s="10">
        <v>1</v>
      </c>
      <c r="K334" s="10">
        <v>518</v>
      </c>
      <c r="L334">
        <v>518</v>
      </c>
      <c r="M334" s="10">
        <v>540</v>
      </c>
      <c r="N334">
        <f t="shared" si="5"/>
        <v>540</v>
      </c>
      <c r="P3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Row],[orderNum]],ТабПозиции[orderSumm])&gt;1500),ABS(N334*VLOOKUP(ТабПозиции[[#This Row],[orderNum]],ТабЗаказы[#Data],MATCH("Percent",ТабЗаказы[#Headers],0),0))/100,200/COUNTIF(ТабПозиции[orderNum],ТабПозиции[[#This Row],[orderNum]])),0),"")</f>
        <v>81</v>
      </c>
      <c r="Q334">
        <f>IF(OR(ТабПозиции[[#This Row],[item]]="По штрихкоду",ТабПозиции[[#This Row],[item]]="Посылка"),ТабПозиции[[#This Row],[deliverySumm]]+ТабПозиции[[#This Row],[deliveryPost]],SUM(N334:P334))</f>
        <v>621</v>
      </c>
      <c r="R334" s="41">
        <v>621</v>
      </c>
      <c r="S334" s="46">
        <f>ТабПозиции[[#This Row],[totalSumm]]-ТабПозиции[[#This Row],[payment]]</f>
        <v>0</v>
      </c>
      <c r="T334" s="18" t="s">
        <v>563</v>
      </c>
      <c r="U334" s="40" t="s">
        <v>545</v>
      </c>
      <c r="V334" s="40" t="s">
        <v>545</v>
      </c>
      <c r="W334" s="48" t="s">
        <v>545</v>
      </c>
      <c r="X334" s="3"/>
      <c r="Y334"/>
    </row>
    <row r="335" spans="1:25" hidden="1" x14ac:dyDescent="0.25">
      <c r="A335" s="10">
        <v>96</v>
      </c>
      <c r="B335" s="1">
        <f>IFERROR(VLOOKUP(ТабПозиции[[#This Row],[orderNum]],ТабЗаказы[#Data],MATCH(B$7,ТабЗаказы[#Headers],0),0),"")</f>
        <v>45423</v>
      </c>
      <c r="C335" t="str">
        <f>MONTH(ТабПозиции[[#This Row],[date]])&amp;"/"&amp;YEAR(ТабПозиции[[#This Row],[date]])</f>
        <v>5/2024</v>
      </c>
      <c r="D335" s="1" t="str">
        <f>IFERROR(VLOOKUP(ТабПозиции[[#This Row],[orderNum]],ТабЗаказы[#Data],MATCH(D$7,ТабЗаказы[#Headers],0),0),"")</f>
        <v/>
      </c>
      <c r="E335" s="1" t="str">
        <f>IFERROR(VLOOKUP(ТабПозиции[[#This Row],[orderNum]],ТабЗаказы[#Data],MATCH(E$7,ТабЗаказы[#Headers],0),0),"")</f>
        <v/>
      </c>
      <c r="F335" s="16" t="s">
        <v>848</v>
      </c>
      <c r="G335" s="40" t="s">
        <v>545</v>
      </c>
      <c r="I335" s="18">
        <v>45426</v>
      </c>
      <c r="J335" s="10">
        <v>1</v>
      </c>
      <c r="K335" s="10">
        <v>182</v>
      </c>
      <c r="L335">
        <v>182</v>
      </c>
      <c r="M335" s="10">
        <v>190</v>
      </c>
      <c r="N335">
        <f t="shared" si="5"/>
        <v>190</v>
      </c>
      <c r="P3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Row],[orderNum]],ТабПозиции[orderSumm])&gt;1500),ABS(N335*VLOOKUP(ТабПозиции[[#This Row],[orderNum]],ТабЗаказы[#Data],MATCH("Percent",ТабЗаказы[#Headers],0),0))/100,200/COUNTIF(ТабПозиции[orderNum],ТабПозиции[[#This Row],[orderNum]])),0),"")</f>
        <v>29</v>
      </c>
      <c r="Q335">
        <f>IF(OR(ТабПозиции[[#This Row],[item]]="По штрихкоду",ТабПозиции[[#This Row],[item]]="Посылка"),ТабПозиции[[#This Row],[deliverySumm]]+ТабПозиции[[#This Row],[deliveryPost]],SUM(N335:P335))</f>
        <v>219</v>
      </c>
      <c r="R335" s="41">
        <v>219</v>
      </c>
      <c r="S335" s="46">
        <f>ТабПозиции[[#This Row],[totalSumm]]-ТабПозиции[[#This Row],[payment]]</f>
        <v>0</v>
      </c>
      <c r="T335" s="18" t="s">
        <v>563</v>
      </c>
      <c r="U335" s="40" t="s">
        <v>545</v>
      </c>
      <c r="V335" s="40" t="s">
        <v>545</v>
      </c>
      <c r="W335" s="48" t="s">
        <v>545</v>
      </c>
      <c r="X335" s="3"/>
      <c r="Y335"/>
    </row>
    <row r="336" spans="1:25" hidden="1" x14ac:dyDescent="0.25">
      <c r="A336" s="10">
        <v>96</v>
      </c>
      <c r="B336" s="1">
        <f>IFERROR(VLOOKUP(ТабПозиции[[#This Row],[orderNum]],ТабЗаказы[#Data],MATCH(B$7,ТабЗаказы[#Headers],0),0),"")</f>
        <v>45423</v>
      </c>
      <c r="C336" t="str">
        <f>MONTH(ТабПозиции[[#This Row],[date]])&amp;"/"&amp;YEAR(ТабПозиции[[#This Row],[date]])</f>
        <v>5/2024</v>
      </c>
      <c r="D336" s="1" t="str">
        <f>IFERROR(VLOOKUP(ТабПозиции[[#This Row],[orderNum]],ТабЗаказы[#Data],MATCH(D$7,ТабЗаказы[#Headers],0),0),"")</f>
        <v/>
      </c>
      <c r="E336" s="1" t="str">
        <f>IFERROR(VLOOKUP(ТабПозиции[[#This Row],[orderNum]],ТабЗаказы[#Data],MATCH(E$7,ТабЗаказы[#Headers],0),0),"")</f>
        <v/>
      </c>
      <c r="F336" s="16" t="s">
        <v>849</v>
      </c>
      <c r="G336" s="40" t="s">
        <v>545</v>
      </c>
      <c r="I336" s="18">
        <v>45426</v>
      </c>
      <c r="J336" s="10">
        <v>1</v>
      </c>
      <c r="K336" s="10">
        <v>336</v>
      </c>
      <c r="L336">
        <v>336</v>
      </c>
      <c r="M336" s="10">
        <v>350</v>
      </c>
      <c r="N336">
        <f t="shared" si="5"/>
        <v>350</v>
      </c>
      <c r="P3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Row],[orderNum]],ТабПозиции[orderSumm])&gt;1500),ABS(N336*VLOOKUP(ТабПозиции[[#This Row],[orderNum]],ТабЗаказы[#Data],MATCH("Percent",ТабЗаказы[#Headers],0),0))/100,200/COUNTIF(ТабПозиции[orderNum],ТабПозиции[[#This Row],[orderNum]])),0),"")</f>
        <v>53</v>
      </c>
      <c r="Q336">
        <f>IF(OR(ТабПозиции[[#This Row],[item]]="По штрихкоду",ТабПозиции[[#This Row],[item]]="Посылка"),ТабПозиции[[#This Row],[deliverySumm]]+ТабПозиции[[#This Row],[deliveryPost]],SUM(N336:P336))</f>
        <v>403</v>
      </c>
      <c r="R336" s="41">
        <v>403</v>
      </c>
      <c r="S336" s="46">
        <f>ТабПозиции[[#This Row],[totalSumm]]-ТабПозиции[[#This Row],[payment]]</f>
        <v>0</v>
      </c>
      <c r="T336" s="18" t="s">
        <v>563</v>
      </c>
      <c r="U336" s="40" t="s">
        <v>545</v>
      </c>
      <c r="V336" s="40" t="s">
        <v>545</v>
      </c>
      <c r="W336" s="48" t="s">
        <v>545</v>
      </c>
      <c r="X336" s="3"/>
      <c r="Y336"/>
    </row>
    <row r="337" spans="1:25" hidden="1" x14ac:dyDescent="0.25">
      <c r="A337" s="10">
        <v>96</v>
      </c>
      <c r="B337" s="1">
        <f>IFERROR(VLOOKUP(ТабПозиции[[#This Row],[orderNum]],ТабЗаказы[#Data],MATCH(B$7,ТабЗаказы[#Headers],0),0),"")</f>
        <v>45423</v>
      </c>
      <c r="C337" t="str">
        <f>MONTH(ТабПозиции[[#This Row],[date]])&amp;"/"&amp;YEAR(ТабПозиции[[#This Row],[date]])</f>
        <v>5/2024</v>
      </c>
      <c r="D337" s="1" t="str">
        <f>IFERROR(VLOOKUP(ТабПозиции[[#This Row],[orderNum]],ТабЗаказы[#Data],MATCH(D$7,ТабЗаказы[#Headers],0),0),"")</f>
        <v/>
      </c>
      <c r="E337" s="1" t="str">
        <f>IFERROR(VLOOKUP(ТабПозиции[[#This Row],[orderNum]],ТабЗаказы[#Data],MATCH(E$7,ТабЗаказы[#Headers],0),0),"")</f>
        <v/>
      </c>
      <c r="F337" s="16" t="s">
        <v>850</v>
      </c>
      <c r="G337" s="40" t="s">
        <v>545</v>
      </c>
      <c r="I337" s="18">
        <v>45425</v>
      </c>
      <c r="J337" s="10">
        <v>1</v>
      </c>
      <c r="K337" s="10">
        <v>767</v>
      </c>
      <c r="L337">
        <v>767</v>
      </c>
      <c r="M337" s="10">
        <v>799</v>
      </c>
      <c r="N337">
        <f t="shared" si="5"/>
        <v>799</v>
      </c>
      <c r="P3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Row],[orderNum]],ТабПозиции[orderSumm])&gt;1500),ABS(N337*VLOOKUP(ТабПозиции[[#This Row],[orderNum]],ТабЗаказы[#Data],MATCH("Percent",ТабЗаказы[#Headers],0),0))/100,200/COUNTIF(ТабПозиции[orderNum],ТабПозиции[[#This Row],[orderNum]])),0),"")</f>
        <v>120</v>
      </c>
      <c r="Q337">
        <f>IF(OR(ТабПозиции[[#This Row],[item]]="По штрихкоду",ТабПозиции[[#This Row],[item]]="Посылка"),ТабПозиции[[#This Row],[deliverySumm]]+ТабПозиции[[#This Row],[deliveryPost]],SUM(N337:P337))</f>
        <v>919</v>
      </c>
      <c r="R337" s="41">
        <v>919</v>
      </c>
      <c r="S337" s="46">
        <f>ТабПозиции[[#This Row],[totalSumm]]-ТабПозиции[[#This Row],[payment]]</f>
        <v>0</v>
      </c>
      <c r="T337" s="18" t="s">
        <v>563</v>
      </c>
      <c r="U337" s="40" t="s">
        <v>545</v>
      </c>
      <c r="V337" s="40" t="s">
        <v>545</v>
      </c>
      <c r="W337" s="48" t="s">
        <v>545</v>
      </c>
      <c r="X337" s="3"/>
      <c r="Y337"/>
    </row>
    <row r="338" spans="1:25" hidden="1" x14ac:dyDescent="0.25">
      <c r="A338" s="10">
        <v>96</v>
      </c>
      <c r="B338" s="1">
        <f>IFERROR(VLOOKUP(ТабПозиции[[#This Row],[orderNum]],ТабЗаказы[#Data],MATCH(B$7,ТабЗаказы[#Headers],0),0),"")</f>
        <v>45423</v>
      </c>
      <c r="C338" t="str">
        <f>MONTH(ТабПозиции[[#This Row],[date]])&amp;"/"&amp;YEAR(ТабПозиции[[#This Row],[date]])</f>
        <v>5/2024</v>
      </c>
      <c r="D338" s="1" t="str">
        <f>IFERROR(VLOOKUP(ТабПозиции[[#This Row],[orderNum]],ТабЗаказы[#Data],MATCH(D$7,ТабЗаказы[#Headers],0),0),"")</f>
        <v/>
      </c>
      <c r="E338" s="1" t="str">
        <f>IFERROR(VLOOKUP(ТабПозиции[[#This Row],[orderNum]],ТабЗаказы[#Data],MATCH(E$7,ТабЗаказы[#Headers],0),0),"")</f>
        <v/>
      </c>
      <c r="F338" s="16" t="s">
        <v>851</v>
      </c>
      <c r="G338" s="40" t="s">
        <v>545</v>
      </c>
      <c r="I338" s="18">
        <v>45426</v>
      </c>
      <c r="J338" s="10">
        <v>1</v>
      </c>
      <c r="K338" s="10">
        <v>162</v>
      </c>
      <c r="L338">
        <v>162</v>
      </c>
      <c r="M338" s="10">
        <v>165</v>
      </c>
      <c r="N338">
        <f t="shared" si="5"/>
        <v>165</v>
      </c>
      <c r="P3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Row],[orderNum]],ТабПозиции[orderSumm])&gt;1500),ABS(N338*VLOOKUP(ТабПозиции[[#This Row],[orderNum]],ТабЗаказы[#Data],MATCH("Percent",ТабЗаказы[#Headers],0),0))/100,200/COUNTIF(ТабПозиции[orderNum],ТабПозиции[[#This Row],[orderNum]])),0),"")</f>
        <v>25</v>
      </c>
      <c r="Q338">
        <f>IF(OR(ТабПозиции[[#This Row],[item]]="По штрихкоду",ТабПозиции[[#This Row],[item]]="Посылка"),ТабПозиции[[#This Row],[deliverySumm]]+ТабПозиции[[#This Row],[deliveryPost]],SUM(N338:P338))</f>
        <v>190</v>
      </c>
      <c r="R338" s="41">
        <v>190</v>
      </c>
      <c r="S338" s="46">
        <f>ТабПозиции[[#This Row],[totalSumm]]-ТабПозиции[[#This Row],[payment]]</f>
        <v>0</v>
      </c>
      <c r="T338" s="18" t="s">
        <v>580</v>
      </c>
      <c r="U338" s="40" t="s">
        <v>545</v>
      </c>
      <c r="V338" s="40" t="s">
        <v>545</v>
      </c>
      <c r="W338" s="48" t="s">
        <v>545</v>
      </c>
      <c r="X338" s="3"/>
      <c r="Y338"/>
    </row>
    <row r="339" spans="1:25" hidden="1" x14ac:dyDescent="0.25">
      <c r="A339" s="10">
        <v>96</v>
      </c>
      <c r="B339" s="1">
        <f>IFERROR(VLOOKUP(ТабПозиции[[#This Row],[orderNum]],ТабЗаказы[#Data],MATCH(B$7,ТабЗаказы[#Headers],0),0),"")</f>
        <v>45423</v>
      </c>
      <c r="C339" t="str">
        <f>MONTH(ТабПозиции[[#This Row],[date]])&amp;"/"&amp;YEAR(ТабПозиции[[#This Row],[date]])</f>
        <v>5/2024</v>
      </c>
      <c r="D339" s="1" t="str">
        <f>IFERROR(VLOOKUP(ТабПозиции[[#This Row],[orderNum]],ТабЗаказы[#Data],MATCH(D$7,ТабЗаказы[#Headers],0),0),"")</f>
        <v/>
      </c>
      <c r="E339" s="1" t="str">
        <f>IFERROR(VLOOKUP(ТабПозиции[[#This Row],[orderNum]],ТабЗаказы[#Data],MATCH(E$7,ТабЗаказы[#Headers],0),0),"")</f>
        <v/>
      </c>
      <c r="F339" s="16" t="s">
        <v>852</v>
      </c>
      <c r="G339" s="40" t="s">
        <v>545</v>
      </c>
      <c r="I339" s="18">
        <v>45437</v>
      </c>
      <c r="J339" s="10">
        <v>1</v>
      </c>
      <c r="K339" s="10">
        <v>352</v>
      </c>
      <c r="L339">
        <v>352</v>
      </c>
      <c r="M339" s="10">
        <v>353</v>
      </c>
      <c r="N339">
        <f t="shared" si="5"/>
        <v>353</v>
      </c>
      <c r="P3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Row],[orderNum]],ТабПозиции[orderSumm])&gt;1500),ABS(N339*VLOOKUP(ТабПозиции[[#This Row],[orderNum]],ТабЗаказы[#Data],MATCH("Percent",ТабЗаказы[#Headers],0),0))/100,200/COUNTIF(ТабПозиции[orderNum],ТабПозиции[[#This Row],[orderNum]])),0),"")</f>
        <v>53</v>
      </c>
      <c r="Q339">
        <f>IF(OR(ТабПозиции[[#This Row],[item]]="По штрихкоду",ТабПозиции[[#This Row],[item]]="Посылка"),ТабПозиции[[#This Row],[deliverySumm]]+ТабПозиции[[#This Row],[deliveryPost]],SUM(N339:P339))</f>
        <v>406</v>
      </c>
      <c r="R339" s="41">
        <v>406</v>
      </c>
      <c r="S339" s="46">
        <f>ТабПозиции[[#This Row],[totalSumm]]-ТабПозиции[[#This Row],[payment]]</f>
        <v>0</v>
      </c>
      <c r="T339" s="18" t="s">
        <v>580</v>
      </c>
      <c r="U339" s="40" t="s">
        <v>545</v>
      </c>
      <c r="V339" s="40" t="s">
        <v>545</v>
      </c>
      <c r="W339" s="40" t="s">
        <v>545</v>
      </c>
      <c r="X339" s="3"/>
      <c r="Y339"/>
    </row>
    <row r="340" spans="1:25" hidden="1" x14ac:dyDescent="0.25">
      <c r="A340" s="10">
        <v>97</v>
      </c>
      <c r="B340" s="1">
        <f>IFERROR(VLOOKUP(ТабПозиции[[#This Row],[orderNum]],ТабЗаказы[#Data],MATCH(B$7,ТабЗаказы[#Headers],0),0),"")</f>
        <v>45425</v>
      </c>
      <c r="C340" t="str">
        <f>MONTH(ТабПозиции[[#This Row],[date]])&amp;"/"&amp;YEAR(ТабПозиции[[#This Row],[date]])</f>
        <v>5/2024</v>
      </c>
      <c r="D340" s="1" t="str">
        <f>IFERROR(VLOOKUP(ТабПозиции[[#This Row],[orderNum]],ТабЗаказы[#Data],MATCH(D$7,ТабЗаказы[#Headers],0),0),"")</f>
        <v/>
      </c>
      <c r="E340" s="1" t="str">
        <f>IFERROR(VLOOKUP(ТабПозиции[[#This Row],[orderNum]],ТабЗаказы[#Data],MATCH(E$7,ТабЗаказы[#Headers],0),0),"")</f>
        <v/>
      </c>
      <c r="F340" s="16" t="s">
        <v>853</v>
      </c>
      <c r="G340" s="40" t="s">
        <v>545</v>
      </c>
      <c r="H340" s="12" t="s">
        <v>854</v>
      </c>
      <c r="I340" s="18">
        <v>45435</v>
      </c>
      <c r="J340" s="10">
        <v>1</v>
      </c>
      <c r="K340" s="10">
        <v>174</v>
      </c>
      <c r="L340">
        <v>174</v>
      </c>
      <c r="M340" s="10">
        <v>174</v>
      </c>
      <c r="N340">
        <f t="shared" si="5"/>
        <v>174</v>
      </c>
      <c r="O340" s="10">
        <v>189</v>
      </c>
      <c r="P3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Row],[orderNum]],ТабПозиции[orderSumm])&gt;1500),ABS(N340*VLOOKUP(ТабПозиции[[#This Row],[orderNum]],ТабЗаказы[#Data],MATCH("Percent",ТабЗаказы[#Headers],0),0))/100,200/COUNTIF(ТабПозиции[orderNum],ТабПозиции[[#This Row],[orderNum]])),0),"")</f>
        <v>26</v>
      </c>
      <c r="Q340">
        <f>IF(OR(ТабПозиции[[#This Row],[item]]="По штрихкоду",ТабПозиции[[#This Row],[item]]="Посылка"),ТабПозиции[[#This Row],[deliverySumm]]+ТабПозиции[[#This Row],[deliveryPost]],SUM(N340:P340))</f>
        <v>389</v>
      </c>
      <c r="R340" s="41">
        <v>389</v>
      </c>
      <c r="S340" s="46">
        <f>ТабПозиции[[#This Row],[totalSumm]]-ТабПозиции[[#This Row],[payment]]</f>
        <v>0</v>
      </c>
      <c r="T340" s="18" t="s">
        <v>584</v>
      </c>
      <c r="U340" s="40" t="s">
        <v>545</v>
      </c>
      <c r="V340" s="40" t="s">
        <v>545</v>
      </c>
      <c r="W340" s="40" t="s">
        <v>545</v>
      </c>
      <c r="X340" s="3"/>
      <c r="Y340"/>
    </row>
    <row r="341" spans="1:25" hidden="1" x14ac:dyDescent="0.25">
      <c r="A341" s="10">
        <v>97</v>
      </c>
      <c r="B341" s="1">
        <f>IFERROR(VLOOKUP(ТабПозиции[[#This Row],[orderNum]],ТабЗаказы[#Data],MATCH(B$7,ТабЗаказы[#Headers],0),0),"")</f>
        <v>45425</v>
      </c>
      <c r="C341" t="str">
        <f>MONTH(ТабПозиции[[#This Row],[date]])&amp;"/"&amp;YEAR(ТабПозиции[[#This Row],[date]])</f>
        <v>5/2024</v>
      </c>
      <c r="D341" s="1" t="str">
        <f>IFERROR(VLOOKUP(ТабПозиции[[#This Row],[orderNum]],ТабЗаказы[#Data],MATCH(D$7,ТабЗаказы[#Headers],0),0),"")</f>
        <v/>
      </c>
      <c r="E341" s="1" t="str">
        <f>IFERROR(VLOOKUP(ТабПозиции[[#This Row],[orderNum]],ТабЗаказы[#Data],MATCH(E$7,ТабЗаказы[#Headers],0),0),"")</f>
        <v/>
      </c>
      <c r="F341" s="16" t="s">
        <v>855</v>
      </c>
      <c r="G341" s="40" t="s">
        <v>545</v>
      </c>
      <c r="H341" s="12" t="s">
        <v>856</v>
      </c>
      <c r="I341" s="18">
        <v>45439</v>
      </c>
      <c r="J341" s="10">
        <v>1</v>
      </c>
      <c r="K341" s="10">
        <v>390</v>
      </c>
      <c r="L341">
        <v>390</v>
      </c>
      <c r="M341" s="10">
        <v>390</v>
      </c>
      <c r="N341">
        <f t="shared" si="5"/>
        <v>390</v>
      </c>
      <c r="O341" s="10">
        <v>366</v>
      </c>
      <c r="P3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Row],[orderNum]],ТабПозиции[orderSumm])&gt;1500),ABS(N341*VLOOKUP(ТабПозиции[[#This Row],[orderNum]],ТабЗаказы[#Data],MATCH("Percent",ТабЗаказы[#Headers],0),0))/100,200/COUNTIF(ТабПозиции[orderNum],ТабПозиции[[#This Row],[orderNum]])),0),"")</f>
        <v>59</v>
      </c>
      <c r="Q341">
        <f>IF(OR(ТабПозиции[[#This Row],[item]]="По штрихкоду",ТабПозиции[[#This Row],[item]]="Посылка"),ТабПозиции[[#This Row],[deliverySumm]]+ТабПозиции[[#This Row],[deliveryPost]],SUM(N341:P341))</f>
        <v>815</v>
      </c>
      <c r="R341" s="41">
        <v>815</v>
      </c>
      <c r="S341" s="46">
        <f>ТабПозиции[[#This Row],[totalSumm]]-ТабПозиции[[#This Row],[payment]]</f>
        <v>0</v>
      </c>
      <c r="T341" s="18" t="s">
        <v>584</v>
      </c>
      <c r="U341" s="40" t="s">
        <v>545</v>
      </c>
      <c r="V341" s="40" t="s">
        <v>545</v>
      </c>
      <c r="W341" s="40" t="s">
        <v>545</v>
      </c>
      <c r="X341" s="3"/>
      <c r="Y341"/>
    </row>
    <row r="342" spans="1:25" hidden="1" x14ac:dyDescent="0.25">
      <c r="A342" s="10">
        <v>97</v>
      </c>
      <c r="B342" s="1">
        <f>IFERROR(VLOOKUP(ТабПозиции[[#This Row],[orderNum]],ТабЗаказы[#Data],MATCH(B$7,ТабЗаказы[#Headers],0),0),"")</f>
        <v>45425</v>
      </c>
      <c r="C342" t="str">
        <f>MONTH(ТабПозиции[[#This Row],[date]])&amp;"/"&amp;YEAR(ТабПозиции[[#This Row],[date]])</f>
        <v>5/2024</v>
      </c>
      <c r="D342" s="1" t="str">
        <f>IFERROR(VLOOKUP(ТабПозиции[[#This Row],[orderNum]],ТабЗаказы[#Data],MATCH(D$7,ТабЗаказы[#Headers],0),0),"")</f>
        <v/>
      </c>
      <c r="E342" s="1" t="str">
        <f>IFERROR(VLOOKUP(ТабПозиции[[#This Row],[orderNum]],ТабЗаказы[#Data],MATCH(E$7,ТабЗаказы[#Headers],0),0),"")</f>
        <v/>
      </c>
      <c r="F342" s="16" t="s">
        <v>857</v>
      </c>
      <c r="G342" s="40" t="s">
        <v>545</v>
      </c>
      <c r="H342" s="12" t="s">
        <v>858</v>
      </c>
      <c r="I342" s="18">
        <v>45435</v>
      </c>
      <c r="J342" s="10">
        <v>1</v>
      </c>
      <c r="K342" s="10">
        <v>540</v>
      </c>
      <c r="L342">
        <v>540</v>
      </c>
      <c r="M342" s="10">
        <v>540</v>
      </c>
      <c r="N342">
        <f t="shared" si="5"/>
        <v>540</v>
      </c>
      <c r="O342" s="10">
        <f>350/5</f>
        <v>70</v>
      </c>
      <c r="P3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Row],[orderNum]],ТабПозиции[orderSumm])&gt;1500),ABS(N342*VLOOKUP(ТабПозиции[[#This Row],[orderNum]],ТабЗаказы[#Data],MATCH("Percent",ТабЗаказы[#Headers],0),0))/100,200/COUNTIF(ТабПозиции[orderNum],ТабПозиции[[#This Row],[orderNum]])),0),"")</f>
        <v>81</v>
      </c>
      <c r="Q342">
        <f>IF(OR(ТабПозиции[[#This Row],[item]]="По штрихкоду",ТабПозиции[[#This Row],[item]]="Посылка"),ТабПозиции[[#This Row],[deliverySumm]]+ТабПозиции[[#This Row],[deliveryPost]],SUM(N342:P342))</f>
        <v>691</v>
      </c>
      <c r="R342" s="41">
        <v>691</v>
      </c>
      <c r="S342" s="46">
        <f>ТабПозиции[[#This Row],[totalSumm]]-ТабПозиции[[#This Row],[payment]]</f>
        <v>0</v>
      </c>
      <c r="T342" s="18" t="s">
        <v>676</v>
      </c>
      <c r="U342" s="40" t="s">
        <v>545</v>
      </c>
      <c r="V342" s="40" t="s">
        <v>545</v>
      </c>
      <c r="W342" s="40" t="s">
        <v>545</v>
      </c>
      <c r="X342" s="3"/>
      <c r="Y342"/>
    </row>
    <row r="343" spans="1:25" hidden="1" x14ac:dyDescent="0.25">
      <c r="A343" s="10">
        <v>97</v>
      </c>
      <c r="B343" s="1">
        <f>IFERROR(VLOOKUP(ТабПозиции[[#This Row],[orderNum]],ТабЗаказы[#Data],MATCH(B$7,ТабЗаказы[#Headers],0),0),"")</f>
        <v>45425</v>
      </c>
      <c r="C343" t="str">
        <f>MONTH(ТабПозиции[[#This Row],[date]])&amp;"/"&amp;YEAR(ТабПозиции[[#This Row],[date]])</f>
        <v>5/2024</v>
      </c>
      <c r="D343" s="1" t="str">
        <f>IFERROR(VLOOKUP(ТабПозиции[[#This Row],[orderNum]],ТабЗаказы[#Data],MATCH(D$7,ТабЗаказы[#Headers],0),0),"")</f>
        <v/>
      </c>
      <c r="E343" s="1" t="str">
        <f>IFERROR(VLOOKUP(ТабПозиции[[#This Row],[orderNum]],ТабЗаказы[#Data],MATCH(E$7,ТабЗаказы[#Headers],0),0),"")</f>
        <v/>
      </c>
      <c r="F343" s="16" t="s">
        <v>859</v>
      </c>
      <c r="G343" s="40" t="s">
        <v>545</v>
      </c>
      <c r="H343" s="12" t="s">
        <v>858</v>
      </c>
      <c r="I343" s="18">
        <v>45435</v>
      </c>
      <c r="J343" s="10">
        <v>1</v>
      </c>
      <c r="K343" s="10">
        <v>185</v>
      </c>
      <c r="L343">
        <v>185</v>
      </c>
      <c r="M343" s="10">
        <v>185</v>
      </c>
      <c r="N343">
        <f t="shared" si="5"/>
        <v>185</v>
      </c>
      <c r="O343" s="10">
        <f t="shared" ref="O343:O346" si="6">350/5</f>
        <v>70</v>
      </c>
      <c r="P3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Row],[orderNum]],ТабПозиции[orderSumm])&gt;1500),ABS(N343*VLOOKUP(ТабПозиции[[#This Row],[orderNum]],ТабЗаказы[#Data],MATCH("Percent",ТабЗаказы[#Headers],0),0))/100,200/COUNTIF(ТабПозиции[orderNum],ТабПозиции[[#This Row],[orderNum]])),0),"")</f>
        <v>28</v>
      </c>
      <c r="Q343">
        <f>IF(OR(ТабПозиции[[#This Row],[item]]="По штрихкоду",ТабПозиции[[#This Row],[item]]="Посылка"),ТабПозиции[[#This Row],[deliverySumm]]+ТабПозиции[[#This Row],[deliveryPost]],SUM(N343:P343))</f>
        <v>283</v>
      </c>
      <c r="R343" s="41">
        <v>283</v>
      </c>
      <c r="S343" s="46">
        <f>ТабПозиции[[#This Row],[totalSumm]]-ТабПозиции[[#This Row],[payment]]</f>
        <v>0</v>
      </c>
      <c r="T343" s="18" t="s">
        <v>676</v>
      </c>
      <c r="U343" s="40" t="s">
        <v>545</v>
      </c>
      <c r="V343" s="40" t="s">
        <v>545</v>
      </c>
      <c r="W343" s="40" t="s">
        <v>545</v>
      </c>
      <c r="X343" s="3"/>
      <c r="Y343"/>
    </row>
    <row r="344" spans="1:25" hidden="1" x14ac:dyDescent="0.25">
      <c r="A344" s="10">
        <v>97</v>
      </c>
      <c r="B344" s="1">
        <f>IFERROR(VLOOKUP(ТабПозиции[[#This Row],[orderNum]],ТабЗаказы[#Data],MATCH(B$7,ТабЗаказы[#Headers],0),0),"")</f>
        <v>45425</v>
      </c>
      <c r="C344" t="str">
        <f>MONTH(ТабПозиции[[#This Row],[date]])&amp;"/"&amp;YEAR(ТабПозиции[[#This Row],[date]])</f>
        <v>5/2024</v>
      </c>
      <c r="D344" s="1" t="str">
        <f>IFERROR(VLOOKUP(ТабПозиции[[#This Row],[orderNum]],ТабЗаказы[#Data],MATCH(D$7,ТабЗаказы[#Headers],0),0),"")</f>
        <v/>
      </c>
      <c r="E344" s="1" t="str">
        <f>IFERROR(VLOOKUP(ТабПозиции[[#This Row],[orderNum]],ТабЗаказы[#Data],MATCH(E$7,ТабЗаказы[#Headers],0),0),"")</f>
        <v/>
      </c>
      <c r="F344" s="16" t="s">
        <v>860</v>
      </c>
      <c r="G344" s="40" t="s">
        <v>545</v>
      </c>
      <c r="H344" s="12" t="s">
        <v>858</v>
      </c>
      <c r="I344" s="18">
        <v>45435</v>
      </c>
      <c r="J344" s="10">
        <v>1</v>
      </c>
      <c r="K344" s="10">
        <v>475</v>
      </c>
      <c r="L344">
        <v>475</v>
      </c>
      <c r="M344" s="10">
        <v>475</v>
      </c>
      <c r="N344">
        <f t="shared" si="5"/>
        <v>475</v>
      </c>
      <c r="O344" s="10">
        <f t="shared" si="6"/>
        <v>70</v>
      </c>
      <c r="P3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Row],[orderNum]],ТабПозиции[orderSumm])&gt;1500),ABS(N344*VLOOKUP(ТабПозиции[[#This Row],[orderNum]],ТабЗаказы[#Data],MATCH("Percent",ТабЗаказы[#Headers],0),0))/100,200/COUNTIF(ТабПозиции[orderNum],ТабПозиции[[#This Row],[orderNum]])),0),"")</f>
        <v>71</v>
      </c>
      <c r="Q344">
        <f>IF(OR(ТабПозиции[[#This Row],[item]]="По штрихкоду",ТабПозиции[[#This Row],[item]]="Посылка"),ТабПозиции[[#This Row],[deliverySumm]]+ТабПозиции[[#This Row],[deliveryPost]],SUM(N344:P344))</f>
        <v>616</v>
      </c>
      <c r="R344" s="41">
        <v>616</v>
      </c>
      <c r="S344" s="46">
        <f>ТабПозиции[[#This Row],[totalSumm]]-ТабПозиции[[#This Row],[payment]]</f>
        <v>0</v>
      </c>
      <c r="T344" s="18" t="s">
        <v>676</v>
      </c>
      <c r="U344" s="40" t="s">
        <v>545</v>
      </c>
      <c r="V344" s="40" t="s">
        <v>545</v>
      </c>
      <c r="W344" s="40" t="s">
        <v>545</v>
      </c>
      <c r="X344" s="3"/>
      <c r="Y344"/>
    </row>
    <row r="345" spans="1:25" hidden="1" x14ac:dyDescent="0.25">
      <c r="A345" s="10">
        <v>97</v>
      </c>
      <c r="B345" s="1">
        <f>IFERROR(VLOOKUP(ТабПозиции[[#This Row],[orderNum]],ТабЗаказы[#Data],MATCH(B$7,ТабЗаказы[#Headers],0),0),"")</f>
        <v>45425</v>
      </c>
      <c r="C345" t="str">
        <f>MONTH(ТабПозиции[[#This Row],[date]])&amp;"/"&amp;YEAR(ТабПозиции[[#This Row],[date]])</f>
        <v>5/2024</v>
      </c>
      <c r="D345" s="1" t="str">
        <f>IFERROR(VLOOKUP(ТабПозиции[[#This Row],[orderNum]],ТабЗаказы[#Data],MATCH(D$7,ТабЗаказы[#Headers],0),0),"")</f>
        <v/>
      </c>
      <c r="E345" s="1" t="str">
        <f>IFERROR(VLOOKUP(ТабПозиции[[#This Row],[orderNum]],ТабЗаказы[#Data],MATCH(E$7,ТабЗаказы[#Headers],0),0),"")</f>
        <v/>
      </c>
      <c r="F345" s="16" t="s">
        <v>861</v>
      </c>
      <c r="G345" s="40" t="s">
        <v>545</v>
      </c>
      <c r="H345" s="12" t="s">
        <v>858</v>
      </c>
      <c r="I345" s="18">
        <v>45435</v>
      </c>
      <c r="J345" s="10">
        <v>1</v>
      </c>
      <c r="K345" s="10">
        <v>617</v>
      </c>
      <c r="L345">
        <v>617</v>
      </c>
      <c r="M345" s="10">
        <v>617</v>
      </c>
      <c r="N345">
        <f t="shared" si="5"/>
        <v>617</v>
      </c>
      <c r="O345" s="10">
        <f t="shared" si="6"/>
        <v>70</v>
      </c>
      <c r="P3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Row],[orderNum]],ТабПозиции[orderSumm])&gt;1500),ABS(N345*VLOOKUP(ТабПозиции[[#This Row],[orderNum]],ТабЗаказы[#Data],MATCH("Percent",ТабЗаказы[#Headers],0),0))/100,200/COUNTIF(ТабПозиции[orderNum],ТабПозиции[[#This Row],[orderNum]])),0),"")</f>
        <v>93</v>
      </c>
      <c r="Q345">
        <f>IF(OR(ТабПозиции[[#This Row],[item]]="По штрихкоду",ТабПозиции[[#This Row],[item]]="Посылка"),ТабПозиции[[#This Row],[deliverySumm]]+ТабПозиции[[#This Row],[deliveryPost]],SUM(N345:P345))</f>
        <v>780</v>
      </c>
      <c r="R345" s="41">
        <v>780</v>
      </c>
      <c r="S345" s="46">
        <f>ТабПозиции[[#This Row],[totalSumm]]-ТабПозиции[[#This Row],[payment]]</f>
        <v>0</v>
      </c>
      <c r="T345" s="18" t="s">
        <v>676</v>
      </c>
      <c r="U345" s="40" t="s">
        <v>545</v>
      </c>
      <c r="V345" s="40" t="s">
        <v>545</v>
      </c>
      <c r="W345" s="40" t="s">
        <v>545</v>
      </c>
      <c r="X345" s="3"/>
      <c r="Y345"/>
    </row>
    <row r="346" spans="1:25" hidden="1" x14ac:dyDescent="0.25">
      <c r="A346" s="10">
        <v>97</v>
      </c>
      <c r="B346" s="1">
        <f>IFERROR(VLOOKUP(ТабПозиции[[#This Row],[orderNum]],ТабЗаказы[#Data],MATCH(B$7,ТабЗаказы[#Headers],0),0),"")</f>
        <v>45425</v>
      </c>
      <c r="C346" t="str">
        <f>MONTH(ТабПозиции[[#This Row],[date]])&amp;"/"&amp;YEAR(ТабПозиции[[#This Row],[date]])</f>
        <v>5/2024</v>
      </c>
      <c r="D346" s="1" t="str">
        <f>IFERROR(VLOOKUP(ТабПозиции[[#This Row],[orderNum]],ТабЗаказы[#Data],MATCH(D$7,ТабЗаказы[#Headers],0),0),"")</f>
        <v/>
      </c>
      <c r="E346" s="1" t="str">
        <f>IFERROR(VLOOKUP(ТабПозиции[[#This Row],[orderNum]],ТабЗаказы[#Data],MATCH(E$7,ТабЗаказы[#Headers],0),0),"")</f>
        <v/>
      </c>
      <c r="F346" s="16" t="s">
        <v>862</v>
      </c>
      <c r="G346" s="40" t="s">
        <v>545</v>
      </c>
      <c r="H346" s="12" t="s">
        <v>858</v>
      </c>
      <c r="I346" s="18">
        <v>45435</v>
      </c>
      <c r="J346" s="10">
        <v>1</v>
      </c>
      <c r="K346" s="10">
        <v>52</v>
      </c>
      <c r="L346">
        <v>52</v>
      </c>
      <c r="M346" s="10">
        <v>52</v>
      </c>
      <c r="N346">
        <f t="shared" si="5"/>
        <v>52</v>
      </c>
      <c r="O346" s="10">
        <f t="shared" si="6"/>
        <v>70</v>
      </c>
      <c r="P3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Row],[orderNum]],ТабПозиции[orderSumm])&gt;1500),ABS(N346*VLOOKUP(ТабПозиции[[#This Row],[orderNum]],ТабЗаказы[#Data],MATCH("Percent",ТабЗаказы[#Headers],0),0))/100,200/COUNTIF(ТабПозиции[orderNum],ТабПозиции[[#This Row],[orderNum]])),0),"")</f>
        <v>8</v>
      </c>
      <c r="Q346">
        <f>IF(OR(ТабПозиции[[#This Row],[item]]="По штрихкоду",ТабПозиции[[#This Row],[item]]="Посылка"),ТабПозиции[[#This Row],[deliverySumm]]+ТабПозиции[[#This Row],[deliveryPost]],SUM(N346:P346))</f>
        <v>130</v>
      </c>
      <c r="R346" s="41">
        <v>130</v>
      </c>
      <c r="S346" s="46">
        <f>ТабПозиции[[#This Row],[totalSumm]]-ТабПозиции[[#This Row],[payment]]</f>
        <v>0</v>
      </c>
      <c r="T346" s="18" t="s">
        <v>676</v>
      </c>
      <c r="U346" s="40" t="s">
        <v>545</v>
      </c>
      <c r="V346" s="40" t="s">
        <v>545</v>
      </c>
      <c r="W346" s="40" t="s">
        <v>545</v>
      </c>
      <c r="X346" s="3"/>
      <c r="Y346"/>
    </row>
    <row r="347" spans="1:25" hidden="1" x14ac:dyDescent="0.25">
      <c r="A347" s="10">
        <v>97</v>
      </c>
      <c r="B347" s="1">
        <f>IFERROR(VLOOKUP(ТабПозиции[[#This Row],[orderNum]],ТабЗаказы[#Data],MATCH(B$7,ТабЗаказы[#Headers],0),0),"")</f>
        <v>45425</v>
      </c>
      <c r="C347" t="str">
        <f>MONTH(ТабПозиции[[#This Row],[date]])&amp;"/"&amp;YEAR(ТабПозиции[[#This Row],[date]])</f>
        <v>5/2024</v>
      </c>
      <c r="D347" s="1" t="str">
        <f>IFERROR(VLOOKUP(ТабПозиции[[#This Row],[orderNum]],ТабЗаказы[#Data],MATCH(D$7,ТабЗаказы[#Headers],0),0),"")</f>
        <v/>
      </c>
      <c r="E347" s="1" t="str">
        <f>IFERROR(VLOOKUP(ТабПозиции[[#This Row],[orderNum]],ТабЗаказы[#Data],MATCH(E$7,ТабЗаказы[#Headers],0),0),"")</f>
        <v/>
      </c>
      <c r="F347" s="16" t="s">
        <v>863</v>
      </c>
      <c r="G347" s="40" t="s">
        <v>545</v>
      </c>
      <c r="I347" s="18">
        <v>45429</v>
      </c>
      <c r="J347" s="10">
        <v>1</v>
      </c>
      <c r="K347" s="10">
        <v>317</v>
      </c>
      <c r="L347">
        <v>317</v>
      </c>
      <c r="M347" s="10">
        <v>331</v>
      </c>
      <c r="N347">
        <f t="shared" si="5"/>
        <v>331</v>
      </c>
      <c r="P3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Row],[orderNum]],ТабПозиции[orderSumm])&gt;1500),ABS(N347*VLOOKUP(ТабПозиции[[#This Row],[orderNum]],ТабЗаказы[#Data],MATCH("Percent",ТабЗаказы[#Headers],0),0))/100,200/COUNTIF(ТабПозиции[orderNum],ТабПозиции[[#This Row],[orderNum]])),0),"")</f>
        <v>50</v>
      </c>
      <c r="Q347">
        <f>IF(OR(ТабПозиции[[#This Row],[item]]="По штрихкоду",ТабПозиции[[#This Row],[item]]="Посылка"),ТабПозиции[[#This Row],[deliverySumm]]+ТабПозиции[[#This Row],[deliveryPost]],SUM(N347:P347))</f>
        <v>381</v>
      </c>
      <c r="R347" s="41">
        <v>381</v>
      </c>
      <c r="S347" s="46">
        <f>ТабПозиции[[#This Row],[totalSumm]]-ТабПозиции[[#This Row],[payment]]</f>
        <v>0</v>
      </c>
      <c r="T347" s="18" t="s">
        <v>563</v>
      </c>
      <c r="U347" s="40" t="s">
        <v>545</v>
      </c>
      <c r="V347" s="40" t="s">
        <v>545</v>
      </c>
      <c r="W347" s="40" t="s">
        <v>545</v>
      </c>
      <c r="X347" s="3"/>
      <c r="Y347"/>
    </row>
    <row r="348" spans="1:25" hidden="1" x14ac:dyDescent="0.25">
      <c r="A348" s="10">
        <v>97</v>
      </c>
      <c r="B348" s="1">
        <f>IFERROR(VLOOKUP(ТабПозиции[[#This Row],[orderNum]],ТабЗаказы[#Data],MATCH(B$7,ТабЗаказы[#Headers],0),0),"")</f>
        <v>45425</v>
      </c>
      <c r="C348" t="str">
        <f>MONTH(ТабПозиции[[#This Row],[date]])&amp;"/"&amp;YEAR(ТабПозиции[[#This Row],[date]])</f>
        <v>5/2024</v>
      </c>
      <c r="D348" s="1" t="str">
        <f>IFERROR(VLOOKUP(ТабПозиции[[#This Row],[orderNum]],ТабЗаказы[#Data],MATCH(D$7,ТабЗаказы[#Headers],0),0),"")</f>
        <v/>
      </c>
      <c r="E348" s="1" t="str">
        <f>IFERROR(VLOOKUP(ТабПозиции[[#This Row],[orderNum]],ТабЗаказы[#Data],MATCH(E$7,ТабЗаказы[#Headers],0),0),"")</f>
        <v/>
      </c>
      <c r="F348" s="16" t="s">
        <v>864</v>
      </c>
      <c r="G348" s="40" t="s">
        <v>545</v>
      </c>
      <c r="I348" s="18">
        <v>45429</v>
      </c>
      <c r="J348" s="10">
        <v>1</v>
      </c>
      <c r="K348" s="10">
        <v>406</v>
      </c>
      <c r="L348">
        <v>406</v>
      </c>
      <c r="M348" s="10">
        <v>423</v>
      </c>
      <c r="N348">
        <f t="shared" si="5"/>
        <v>423</v>
      </c>
      <c r="P3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Row],[orderNum]],ТабПозиции[orderSumm])&gt;1500),ABS(N348*VLOOKUP(ТабПозиции[[#This Row],[orderNum]],ТабЗаказы[#Data],MATCH("Percent",ТабЗаказы[#Headers],0),0))/100,200/COUNTIF(ТабПозиции[orderNum],ТабПозиции[[#This Row],[orderNum]])),0),"")</f>
        <v>63</v>
      </c>
      <c r="Q348">
        <f>IF(OR(ТабПозиции[[#This Row],[item]]="По штрихкоду",ТабПозиции[[#This Row],[item]]="Посылка"),ТабПозиции[[#This Row],[deliverySumm]]+ТабПозиции[[#This Row],[deliveryPost]],SUM(N348:P348))</f>
        <v>486</v>
      </c>
      <c r="R348" s="41">
        <v>486</v>
      </c>
      <c r="S348" s="46">
        <f>ТабПозиции[[#This Row],[totalSumm]]-ТабПозиции[[#This Row],[payment]]</f>
        <v>0</v>
      </c>
      <c r="T348" s="18" t="s">
        <v>563</v>
      </c>
      <c r="U348" s="40" t="s">
        <v>545</v>
      </c>
      <c r="V348" s="40" t="s">
        <v>545</v>
      </c>
      <c r="W348" s="40" t="s">
        <v>545</v>
      </c>
      <c r="X348" s="3"/>
      <c r="Y348"/>
    </row>
    <row r="349" spans="1:25" hidden="1" x14ac:dyDescent="0.25">
      <c r="A349" s="10">
        <v>97</v>
      </c>
      <c r="B349" s="1">
        <f>IFERROR(VLOOKUP(ТабПозиции[[#This Row],[orderNum]],ТабЗаказы[#Data],MATCH(B$7,ТабЗаказы[#Headers],0),0),"")</f>
        <v>45425</v>
      </c>
      <c r="C349" t="str">
        <f>MONTH(ТабПозиции[[#This Row],[date]])&amp;"/"&amp;YEAR(ТабПозиции[[#This Row],[date]])</f>
        <v>5/2024</v>
      </c>
      <c r="D349" s="1" t="str">
        <f>IFERROR(VLOOKUP(ТабПозиции[[#This Row],[orderNum]],ТабЗаказы[#Data],MATCH(D$7,ТабЗаказы[#Headers],0),0),"")</f>
        <v/>
      </c>
      <c r="E349" s="1" t="str">
        <f>IFERROR(VLOOKUP(ТабПозиции[[#This Row],[orderNum]],ТабЗаказы[#Data],MATCH(E$7,ТабЗаказы[#Headers],0),0),"")</f>
        <v/>
      </c>
      <c r="F349" s="16" t="s">
        <v>865</v>
      </c>
      <c r="G349" s="40" t="s">
        <v>545</v>
      </c>
      <c r="I349" s="18">
        <v>45427</v>
      </c>
      <c r="J349" s="10">
        <v>1</v>
      </c>
      <c r="K349" s="10">
        <v>208</v>
      </c>
      <c r="L349">
        <v>208</v>
      </c>
      <c r="M349" s="10">
        <v>217</v>
      </c>
      <c r="N349">
        <f t="shared" si="5"/>
        <v>217</v>
      </c>
      <c r="P3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Row],[orderNum]],ТабПозиции[orderSumm])&gt;1500),ABS(N349*VLOOKUP(ТабПозиции[[#This Row],[orderNum]],ТабЗаказы[#Data],MATCH("Percent",ТабЗаказы[#Headers],0),0))/100,200/COUNTIF(ТабПозиции[orderNum],ТабПозиции[[#This Row],[orderNum]])),0),"")</f>
        <v>33</v>
      </c>
      <c r="Q349">
        <f>IF(OR(ТабПозиции[[#This Row],[item]]="По штрихкоду",ТабПозиции[[#This Row],[item]]="Посылка"),ТабПозиции[[#This Row],[deliverySumm]]+ТабПозиции[[#This Row],[deliveryPost]],SUM(N349:P349))</f>
        <v>250</v>
      </c>
      <c r="R349" s="41">
        <v>250</v>
      </c>
      <c r="S349" s="46">
        <f>ТабПозиции[[#This Row],[totalSumm]]-ТабПозиции[[#This Row],[payment]]</f>
        <v>0</v>
      </c>
      <c r="T349" s="18" t="s">
        <v>563</v>
      </c>
      <c r="U349" s="40" t="s">
        <v>545</v>
      </c>
      <c r="V349" s="40" t="s">
        <v>545</v>
      </c>
      <c r="W349" s="40" t="s">
        <v>545</v>
      </c>
      <c r="X349" s="3"/>
      <c r="Y349"/>
    </row>
    <row r="350" spans="1:25" hidden="1" x14ac:dyDescent="0.25">
      <c r="A350" s="10">
        <v>97</v>
      </c>
      <c r="B350" s="1">
        <f>IFERROR(VLOOKUP(ТабПозиции[[#This Row],[orderNum]],ТабЗаказы[#Data],MATCH(B$7,ТабЗаказы[#Headers],0),0),"")</f>
        <v>45425</v>
      </c>
      <c r="C350" t="str">
        <f>MONTH(ТабПозиции[[#This Row],[date]])&amp;"/"&amp;YEAR(ТабПозиции[[#This Row],[date]])</f>
        <v>5/2024</v>
      </c>
      <c r="D350" s="1" t="str">
        <f>IFERROR(VLOOKUP(ТабПозиции[[#This Row],[orderNum]],ТабЗаказы[#Data],MATCH(D$7,ТабЗаказы[#Headers],0),0),"")</f>
        <v/>
      </c>
      <c r="E350" s="1" t="str">
        <f>IFERROR(VLOOKUP(ТабПозиции[[#This Row],[orderNum]],ТабЗаказы[#Data],MATCH(E$7,ТабЗаказы[#Headers],0),0),"")</f>
        <v/>
      </c>
      <c r="F350" s="16" t="s">
        <v>866</v>
      </c>
      <c r="G350" s="40" t="s">
        <v>545</v>
      </c>
      <c r="I350" s="18">
        <v>45430</v>
      </c>
      <c r="J350" s="10">
        <v>1</v>
      </c>
      <c r="K350" s="10">
        <v>456</v>
      </c>
      <c r="L350">
        <v>456</v>
      </c>
      <c r="M350" s="10">
        <v>476</v>
      </c>
      <c r="N350">
        <f t="shared" si="5"/>
        <v>476</v>
      </c>
      <c r="P3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Row],[orderNum]],ТабПозиции[orderSumm])&gt;1500),ABS(N350*VLOOKUP(ТабПозиции[[#This Row],[orderNum]],ТабЗаказы[#Data],MATCH("Percent",ТабЗаказы[#Headers],0),0))/100,200/COUNTIF(ТабПозиции[orderNum],ТабПозиции[[#This Row],[orderNum]])),0),"")</f>
        <v>71</v>
      </c>
      <c r="Q350">
        <f>IF(OR(ТабПозиции[[#This Row],[item]]="По штрихкоду",ТабПозиции[[#This Row],[item]]="Посылка"),ТабПозиции[[#This Row],[deliverySumm]]+ТабПозиции[[#This Row],[deliveryPost]],SUM(N350:P350))</f>
        <v>547</v>
      </c>
      <c r="R350" s="41">
        <v>547</v>
      </c>
      <c r="S350" s="46">
        <f>ТабПозиции[[#This Row],[totalSumm]]-ТабПозиции[[#This Row],[payment]]</f>
        <v>0</v>
      </c>
      <c r="T350" s="18" t="s">
        <v>563</v>
      </c>
      <c r="U350" s="40" t="s">
        <v>545</v>
      </c>
      <c r="V350" s="40" t="s">
        <v>545</v>
      </c>
      <c r="W350" s="40" t="s">
        <v>545</v>
      </c>
      <c r="X350" s="3"/>
      <c r="Y350"/>
    </row>
    <row r="351" spans="1:25" hidden="1" x14ac:dyDescent="0.25">
      <c r="A351" s="10">
        <v>97</v>
      </c>
      <c r="B351" s="1">
        <f>IFERROR(VLOOKUP(ТабПозиции[[#This Row],[orderNum]],ТабЗаказы[#Data],MATCH(B$7,ТабЗаказы[#Headers],0),0),"")</f>
        <v>45425</v>
      </c>
      <c r="C351" t="str">
        <f>MONTH(ТабПозиции[[#This Row],[date]])&amp;"/"&amp;YEAR(ТабПозиции[[#This Row],[date]])</f>
        <v>5/2024</v>
      </c>
      <c r="D351" s="1" t="str">
        <f>IFERROR(VLOOKUP(ТабПозиции[[#This Row],[orderNum]],ТабЗаказы[#Data],MATCH(D$7,ТабЗаказы[#Headers],0),0),"")</f>
        <v/>
      </c>
      <c r="E351" s="1" t="str">
        <f>IFERROR(VLOOKUP(ТабПозиции[[#This Row],[orderNum]],ТабЗаказы[#Data],MATCH(E$7,ТабЗаказы[#Headers],0),0),"")</f>
        <v/>
      </c>
      <c r="F351" s="16" t="s">
        <v>867</v>
      </c>
      <c r="G351" s="40" t="s">
        <v>545</v>
      </c>
      <c r="I351" s="18">
        <v>45430</v>
      </c>
      <c r="J351" s="10">
        <v>1</v>
      </c>
      <c r="K351" s="10">
        <v>456</v>
      </c>
      <c r="L351">
        <v>456</v>
      </c>
      <c r="M351" s="10">
        <v>476</v>
      </c>
      <c r="N351">
        <f t="shared" si="5"/>
        <v>476</v>
      </c>
      <c r="P3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Row],[orderNum]],ТабПозиции[orderSumm])&gt;1500),ABS(N351*VLOOKUP(ТабПозиции[[#This Row],[orderNum]],ТабЗаказы[#Data],MATCH("Percent",ТабЗаказы[#Headers],0),0))/100,200/COUNTIF(ТабПозиции[orderNum],ТабПозиции[[#This Row],[orderNum]])),0),"")</f>
        <v>71</v>
      </c>
      <c r="Q351">
        <f>IF(OR(ТабПозиции[[#This Row],[item]]="По штрихкоду",ТабПозиции[[#This Row],[item]]="Посылка"),ТабПозиции[[#This Row],[deliverySumm]]+ТабПозиции[[#This Row],[deliveryPost]],SUM(N351:P351))</f>
        <v>547</v>
      </c>
      <c r="R351" s="41">
        <v>547</v>
      </c>
      <c r="S351" s="46">
        <f>ТабПозиции[[#This Row],[totalSumm]]-ТабПозиции[[#This Row],[payment]]</f>
        <v>0</v>
      </c>
      <c r="T351" s="18" t="s">
        <v>563</v>
      </c>
      <c r="U351" s="40" t="s">
        <v>545</v>
      </c>
      <c r="V351" s="40" t="s">
        <v>545</v>
      </c>
      <c r="W351" s="40" t="s">
        <v>545</v>
      </c>
      <c r="X351" s="3"/>
      <c r="Y351"/>
    </row>
    <row r="352" spans="1:25" hidden="1" x14ac:dyDescent="0.25">
      <c r="A352" s="10">
        <v>97</v>
      </c>
      <c r="B352" s="1">
        <f>IFERROR(VLOOKUP(ТабПозиции[[#This Row],[orderNum]],ТабЗаказы[#Data],MATCH(B$7,ТабЗаказы[#Headers],0),0),"")</f>
        <v>45425</v>
      </c>
      <c r="C352" t="str">
        <f>MONTH(ТабПозиции[[#This Row],[date]])&amp;"/"&amp;YEAR(ТабПозиции[[#This Row],[date]])</f>
        <v>5/2024</v>
      </c>
      <c r="D352" s="1" t="str">
        <f>IFERROR(VLOOKUP(ТабПозиции[[#This Row],[orderNum]],ТабЗаказы[#Data],MATCH(D$7,ТабЗаказы[#Headers],0),0),"")</f>
        <v/>
      </c>
      <c r="E352" s="1" t="str">
        <f>IFERROR(VLOOKUP(ТабПозиции[[#This Row],[orderNum]],ТабЗаказы[#Data],MATCH(E$7,ТабЗаказы[#Headers],0),0),"")</f>
        <v/>
      </c>
      <c r="F352" s="16" t="s">
        <v>868</v>
      </c>
      <c r="G352" s="40" t="s">
        <v>545</v>
      </c>
      <c r="I352" s="18">
        <v>45428</v>
      </c>
      <c r="J352" s="10">
        <v>1</v>
      </c>
      <c r="K352" s="10">
        <v>652</v>
      </c>
      <c r="L352">
        <v>652</v>
      </c>
      <c r="M352" s="10">
        <v>680</v>
      </c>
      <c r="N352">
        <f>M352*J352</f>
        <v>680</v>
      </c>
      <c r="P3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Row],[orderNum]],ТабПозиции[orderSumm])&gt;1500),ABS(N352*VLOOKUP(ТабПозиции[[#This Row],[orderNum]],ТабЗаказы[#Data],MATCH("Percent",ТабЗаказы[#Headers],0),0))/100,200/COUNTIF(ТабПозиции[orderNum],ТабПозиции[[#This Row],[orderNum]])),0),"")</f>
        <v>102</v>
      </c>
      <c r="Q352">
        <f>IF(OR(ТабПозиции[[#This Row],[item]]="По штрихкоду",ТабПозиции[[#This Row],[item]]="Посылка"),ТабПозиции[[#This Row],[deliverySumm]]+ТабПозиции[[#This Row],[deliveryPost]],SUM(N352:P352))</f>
        <v>782</v>
      </c>
      <c r="R352" s="41">
        <v>782</v>
      </c>
      <c r="S352" s="46">
        <f>ТабПозиции[[#This Row],[totalSumm]]-ТабПозиции[[#This Row],[payment]]</f>
        <v>0</v>
      </c>
      <c r="T352" s="18" t="s">
        <v>563</v>
      </c>
      <c r="U352" s="40" t="s">
        <v>545</v>
      </c>
      <c r="V352" s="40" t="s">
        <v>545</v>
      </c>
      <c r="W352" s="40" t="s">
        <v>545</v>
      </c>
      <c r="X352" s="3"/>
      <c r="Y352"/>
    </row>
    <row r="353" spans="1:25" hidden="1" x14ac:dyDescent="0.25">
      <c r="A353" s="10">
        <v>97</v>
      </c>
      <c r="B353" s="1">
        <f>IFERROR(VLOOKUP(ТабПозиции[[#This Row],[orderNum]],ТабЗаказы[#Data],MATCH(B$7,ТабЗаказы[#Headers],0),0),"")</f>
        <v>45425</v>
      </c>
      <c r="C353" t="str">
        <f>MONTH(ТабПозиции[[#This Row],[date]])&amp;"/"&amp;YEAR(ТабПозиции[[#This Row],[date]])</f>
        <v>5/2024</v>
      </c>
      <c r="D353" s="1" t="str">
        <f>IFERROR(VLOOKUP(ТабПозиции[[#This Row],[orderNum]],ТабЗаказы[#Data],MATCH(D$7,ТабЗаказы[#Headers],0),0),"")</f>
        <v/>
      </c>
      <c r="E353" s="1" t="str">
        <f>IFERROR(VLOOKUP(ТабПозиции[[#This Row],[orderNum]],ТабЗаказы[#Data],MATCH(E$7,ТабЗаказы[#Headers],0),0),"")</f>
        <v/>
      </c>
      <c r="F353" s="16" t="s">
        <v>869</v>
      </c>
      <c r="G353" s="40" t="s">
        <v>545</v>
      </c>
      <c r="I353" s="18">
        <v>45428</v>
      </c>
      <c r="J353" s="10">
        <v>1</v>
      </c>
      <c r="K353" s="10">
        <v>921</v>
      </c>
      <c r="L353">
        <v>921</v>
      </c>
      <c r="M353" s="10">
        <v>960</v>
      </c>
      <c r="N353">
        <f t="shared" ref="N353:N416" si="7">M353*J353</f>
        <v>960</v>
      </c>
      <c r="P3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Row],[orderNum]],ТабПозиции[orderSumm])&gt;1500),ABS(N353*VLOOKUP(ТабПозиции[[#This Row],[orderNum]],ТабЗаказы[#Data],MATCH("Percent",ТабЗаказы[#Headers],0),0))/100,200/COUNTIF(ТабПозиции[orderNum],ТабПозиции[[#This Row],[orderNum]])),0),"")</f>
        <v>144</v>
      </c>
      <c r="Q353">
        <f>IF(OR(ТабПозиции[[#This Row],[item]]="По штрихкоду",ТабПозиции[[#This Row],[item]]="Посылка"),ТабПозиции[[#This Row],[deliverySumm]]+ТабПозиции[[#This Row],[deliveryPost]],SUM(N353:P353))</f>
        <v>1104</v>
      </c>
      <c r="R353" s="41">
        <v>1104</v>
      </c>
      <c r="S353" s="46">
        <f>ТабПозиции[[#This Row],[totalSumm]]-ТабПозиции[[#This Row],[payment]]</f>
        <v>0</v>
      </c>
      <c r="T353" s="18" t="s">
        <v>563</v>
      </c>
      <c r="U353" s="40" t="s">
        <v>545</v>
      </c>
      <c r="V353" s="40" t="s">
        <v>545</v>
      </c>
      <c r="W353" s="40" t="s">
        <v>545</v>
      </c>
      <c r="X353" s="3"/>
      <c r="Y353"/>
    </row>
    <row r="354" spans="1:25" hidden="1" x14ac:dyDescent="0.25">
      <c r="A354" s="10">
        <v>97</v>
      </c>
      <c r="B354" s="1">
        <f>IFERROR(VLOOKUP(ТабПозиции[[#This Row],[orderNum]],ТабЗаказы[#Data],MATCH(B$7,ТабЗаказы[#Headers],0),0),"")</f>
        <v>45425</v>
      </c>
      <c r="C354" t="str">
        <f>MONTH(ТабПозиции[[#This Row],[date]])&amp;"/"&amp;YEAR(ТабПозиции[[#This Row],[date]])</f>
        <v>5/2024</v>
      </c>
      <c r="D354" s="1" t="str">
        <f>IFERROR(VLOOKUP(ТабПозиции[[#This Row],[orderNum]],ТабЗаказы[#Data],MATCH(D$7,ТабЗаказы[#Headers],0),0),"")</f>
        <v/>
      </c>
      <c r="E354" s="1" t="str">
        <f>IFERROR(VLOOKUP(ТабПозиции[[#This Row],[orderNum]],ТабЗаказы[#Data],MATCH(E$7,ТабЗаказы[#Headers],0),0),"")</f>
        <v/>
      </c>
      <c r="F354" s="16" t="s">
        <v>870</v>
      </c>
      <c r="G354" s="40" t="s">
        <v>545</v>
      </c>
      <c r="I354" s="18">
        <v>45427</v>
      </c>
      <c r="J354" s="10">
        <v>1</v>
      </c>
      <c r="K354" s="10">
        <v>218</v>
      </c>
      <c r="L354">
        <v>218</v>
      </c>
      <c r="M354" s="10">
        <v>228</v>
      </c>
      <c r="N354">
        <f t="shared" si="7"/>
        <v>228</v>
      </c>
      <c r="P3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Row],[orderNum]],ТабПозиции[orderSumm])&gt;1500),ABS(N354*VLOOKUP(ТабПозиции[[#This Row],[orderNum]],ТабЗаказы[#Data],MATCH("Percent",ТабЗаказы[#Headers],0),0))/100,200/COUNTIF(ТабПозиции[orderNum],ТабПозиции[[#This Row],[orderNum]])),0),"")</f>
        <v>34</v>
      </c>
      <c r="Q354">
        <f>IF(OR(ТабПозиции[[#This Row],[item]]="По штрихкоду",ТабПозиции[[#This Row],[item]]="Посылка"),ТабПозиции[[#This Row],[deliverySumm]]+ТабПозиции[[#This Row],[deliveryPost]],SUM(N354:P354))</f>
        <v>262</v>
      </c>
      <c r="R354" s="41">
        <v>262</v>
      </c>
      <c r="S354" s="46">
        <f>ТабПозиции[[#This Row],[totalSumm]]-ТабПозиции[[#This Row],[payment]]</f>
        <v>0</v>
      </c>
      <c r="T354" s="18" t="s">
        <v>563</v>
      </c>
      <c r="U354" s="40" t="s">
        <v>545</v>
      </c>
      <c r="V354" s="40" t="s">
        <v>545</v>
      </c>
      <c r="W354" s="40" t="s">
        <v>545</v>
      </c>
      <c r="X354" s="3"/>
      <c r="Y354"/>
    </row>
    <row r="355" spans="1:25" hidden="1" x14ac:dyDescent="0.25">
      <c r="A355" s="10">
        <v>97</v>
      </c>
      <c r="B355" s="1">
        <f>IFERROR(VLOOKUP(ТабПозиции[[#This Row],[orderNum]],ТабЗаказы[#Data],MATCH(B$7,ТабЗаказы[#Headers],0),0),"")</f>
        <v>45425</v>
      </c>
      <c r="C355" t="str">
        <f>MONTH(ТабПозиции[[#This Row],[date]])&amp;"/"&amp;YEAR(ТабПозиции[[#This Row],[date]])</f>
        <v>5/2024</v>
      </c>
      <c r="D355" s="1" t="str">
        <f>IFERROR(VLOOKUP(ТабПозиции[[#This Row],[orderNum]],ТабЗаказы[#Data],MATCH(D$7,ТабЗаказы[#Headers],0),0),"")</f>
        <v/>
      </c>
      <c r="E355" s="1" t="str">
        <f>IFERROR(VLOOKUP(ТабПозиции[[#This Row],[orderNum]],ТабЗаказы[#Data],MATCH(E$7,ТабЗаказы[#Headers],0),0),"")</f>
        <v/>
      </c>
      <c r="F355" s="16" t="s">
        <v>871</v>
      </c>
      <c r="G355" s="40" t="s">
        <v>545</v>
      </c>
      <c r="I355" s="18">
        <v>45428</v>
      </c>
      <c r="J355" s="10">
        <v>1</v>
      </c>
      <c r="K355" s="10">
        <v>315</v>
      </c>
      <c r="L355">
        <v>315</v>
      </c>
      <c r="M355" s="10">
        <v>329</v>
      </c>
      <c r="N355">
        <f t="shared" si="7"/>
        <v>329</v>
      </c>
      <c r="P3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Row],[orderNum]],ТабПозиции[orderSumm])&gt;1500),ABS(N355*VLOOKUP(ТабПозиции[[#This Row],[orderNum]],ТабЗаказы[#Data],MATCH("Percent",ТабЗаказы[#Headers],0),0))/100,200/COUNTIF(ТабПозиции[orderNum],ТабПозиции[[#This Row],[orderNum]])),0),"")</f>
        <v>49</v>
      </c>
      <c r="Q355">
        <f>IF(OR(ТабПозиции[[#This Row],[item]]="По штрихкоду",ТабПозиции[[#This Row],[item]]="Посылка"),ТабПозиции[[#This Row],[deliverySumm]]+ТабПозиции[[#This Row],[deliveryPost]],SUM(N355:P355))</f>
        <v>378</v>
      </c>
      <c r="R355" s="41">
        <v>378</v>
      </c>
      <c r="S355" s="46">
        <f>ТабПозиции[[#This Row],[totalSumm]]-ТабПозиции[[#This Row],[payment]]</f>
        <v>0</v>
      </c>
      <c r="T355" s="18" t="s">
        <v>563</v>
      </c>
      <c r="U355" s="40" t="s">
        <v>545</v>
      </c>
      <c r="V355" s="40" t="s">
        <v>545</v>
      </c>
      <c r="W355" s="40" t="s">
        <v>545</v>
      </c>
      <c r="X355" s="3"/>
      <c r="Y355"/>
    </row>
    <row r="356" spans="1:25" hidden="1" x14ac:dyDescent="0.25">
      <c r="A356" s="10">
        <v>98</v>
      </c>
      <c r="B356" s="1">
        <f>IFERROR(VLOOKUP(ТабПозиции[[#This Row],[orderNum]],ТабЗаказы[#Data],MATCH(B$7,ТабЗаказы[#Headers],0),0),"")</f>
        <v>45425</v>
      </c>
      <c r="C356" t="str">
        <f>MONTH(ТабПозиции[[#This Row],[date]])&amp;"/"&amp;YEAR(ТабПозиции[[#This Row],[date]])</f>
        <v>5/2024</v>
      </c>
      <c r="D356" s="1" t="str">
        <f>IFERROR(VLOOKUP(ТабПозиции[[#This Row],[orderNum]],ТабЗаказы[#Data],MATCH(D$7,ТабЗаказы[#Headers],0),0),"")</f>
        <v/>
      </c>
      <c r="E356" s="1" t="str">
        <f>IFERROR(VLOOKUP(ТабПозиции[[#This Row],[orderNum]],ТабЗаказы[#Data],MATCH(E$7,ТабЗаказы[#Headers],0),0),"")</f>
        <v/>
      </c>
      <c r="F356" s="10" t="s">
        <v>872</v>
      </c>
      <c r="G356" s="40" t="s">
        <v>545</v>
      </c>
      <c r="I356" s="18">
        <v>45432</v>
      </c>
      <c r="J356" s="10">
        <v>1</v>
      </c>
      <c r="K356" s="10">
        <v>-3174</v>
      </c>
      <c r="L356">
        <v>-3174</v>
      </c>
      <c r="M356" s="10">
        <v>-3358</v>
      </c>
      <c r="N356">
        <f t="shared" si="7"/>
        <v>-3358</v>
      </c>
      <c r="P3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Row],[orderNum]],ТабПозиции[orderSumm])&gt;1500),ABS(N356*VLOOKUP(ТабПозиции[[#This Row],[orderNum]],ТабЗаказы[#Data],MATCH("Percent",ТабЗаказы[#Headers],0),0))/100,200/COUNTIF(ТабПозиции[orderNum],ТабПозиции[[#This Row],[orderNum]])),0),"")</f>
        <v>504</v>
      </c>
      <c r="Q356">
        <f>IF(OR(ТабПозиции[[#This Row],[item]]="По штрихкоду",ТабПозиции[[#This Row],[item]]="Посылка"),ТабПозиции[[#This Row],[deliverySumm]]+ТабПозиции[[#This Row],[deliveryPost]],SUM(N356:P356))</f>
        <v>-2854</v>
      </c>
      <c r="R356" s="41">
        <v>-2854</v>
      </c>
      <c r="S356" s="46">
        <f>ТабПозиции[[#This Row],[totalSumm]]-ТабПозиции[[#This Row],[payment]]</f>
        <v>0</v>
      </c>
      <c r="T356" s="18" t="s">
        <v>580</v>
      </c>
      <c r="U356" s="40" t="s">
        <v>545</v>
      </c>
      <c r="V356" s="40" t="s">
        <v>545</v>
      </c>
      <c r="W356" s="40" t="s">
        <v>545</v>
      </c>
      <c r="X356" s="3"/>
      <c r="Y356"/>
    </row>
    <row r="357" spans="1:25" hidden="1" x14ac:dyDescent="0.25">
      <c r="A357" s="10">
        <v>99</v>
      </c>
      <c r="B357" s="1">
        <f>IFERROR(VLOOKUP(ТабПозиции[[#This Row],[orderNum]],ТабЗаказы[#Data],MATCH(B$7,ТабЗаказы[#Headers],0),0),"")</f>
        <v>45425</v>
      </c>
      <c r="C357" t="str">
        <f>MONTH(ТабПозиции[[#This Row],[date]])&amp;"/"&amp;YEAR(ТабПозиции[[#This Row],[date]])</f>
        <v>5/2024</v>
      </c>
      <c r="D357" s="1" t="str">
        <f>IFERROR(VLOOKUP(ТабПозиции[[#This Row],[orderNum]],ТабЗаказы[#Data],MATCH(D$7,ТабЗаказы[#Headers],0),0),"")</f>
        <v/>
      </c>
      <c r="E357" s="1" t="str">
        <f>IFERROR(VLOOKUP(ТабПозиции[[#This Row],[orderNum]],ТабЗаказы[#Data],MATCH(E$7,ТабЗаказы[#Headers],0),0),"")</f>
        <v/>
      </c>
      <c r="F357" s="16" t="s">
        <v>873</v>
      </c>
      <c r="G357" s="40" t="s">
        <v>545</v>
      </c>
      <c r="I357" s="18">
        <v>45434</v>
      </c>
      <c r="J357" s="10">
        <v>1</v>
      </c>
      <c r="K357" s="10">
        <v>471</v>
      </c>
      <c r="L357">
        <v>471</v>
      </c>
      <c r="M357" s="10">
        <v>481</v>
      </c>
      <c r="N357">
        <f t="shared" si="7"/>
        <v>481</v>
      </c>
      <c r="P3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Row],[orderNum]],ТабПозиции[orderSumm])&gt;1500),ABS(N357*VLOOKUP(ТабПозиции[[#This Row],[orderNum]],ТабЗаказы[#Data],MATCH("Percent",ТабЗаказы[#Headers],0),0))/100,200/COUNTIF(ТабПозиции[orderNum],ТабПозиции[[#This Row],[orderNum]])),0),"")</f>
        <v>72</v>
      </c>
      <c r="Q357">
        <f>IF(OR(ТабПозиции[[#This Row],[item]]="По штрихкоду",ТабПозиции[[#This Row],[item]]="Посылка"),ТабПозиции[[#This Row],[deliverySumm]]+ТабПозиции[[#This Row],[deliveryPost]],SUM(N357:P357))</f>
        <v>553</v>
      </c>
      <c r="R357" s="41">
        <v>553</v>
      </c>
      <c r="S357" s="46">
        <f>ТабПозиции[[#This Row],[totalSumm]]-ТабПозиции[[#This Row],[payment]]</f>
        <v>0</v>
      </c>
      <c r="T357" s="18" t="s">
        <v>580</v>
      </c>
      <c r="U357" s="40" t="s">
        <v>545</v>
      </c>
      <c r="V357" s="40" t="s">
        <v>545</v>
      </c>
      <c r="W357" s="40" t="s">
        <v>545</v>
      </c>
      <c r="X357" s="3"/>
      <c r="Y357"/>
    </row>
    <row r="358" spans="1:25" hidden="1" x14ac:dyDescent="0.25">
      <c r="A358" s="10">
        <v>99</v>
      </c>
      <c r="B358" s="1">
        <f>IFERROR(VLOOKUP(ТабПозиции[[#This Row],[orderNum]],ТабЗаказы[#Data],MATCH(B$7,ТабЗаказы[#Headers],0),0),"")</f>
        <v>45425</v>
      </c>
      <c r="C358" t="str">
        <f>MONTH(ТабПозиции[[#This Row],[date]])&amp;"/"&amp;YEAR(ТабПозиции[[#This Row],[date]])</f>
        <v>5/2024</v>
      </c>
      <c r="D358" s="1" t="str">
        <f>IFERROR(VLOOKUP(ТабПозиции[[#This Row],[orderNum]],ТабЗаказы[#Data],MATCH(D$7,ТабЗаказы[#Headers],0),0),"")</f>
        <v/>
      </c>
      <c r="E358" s="1" t="str">
        <f>IFERROR(VLOOKUP(ТабПозиции[[#This Row],[orderNum]],ТабЗаказы[#Data],MATCH(E$7,ТабЗаказы[#Headers],0),0),"")</f>
        <v/>
      </c>
      <c r="F358" s="16" t="s">
        <v>874</v>
      </c>
      <c r="G358" s="49" t="s">
        <v>545</v>
      </c>
      <c r="I358" s="18">
        <v>45432</v>
      </c>
      <c r="J358" s="10">
        <v>1</v>
      </c>
      <c r="K358" s="10">
        <v>292</v>
      </c>
      <c r="L358">
        <v>292</v>
      </c>
      <c r="M358" s="10">
        <v>298</v>
      </c>
      <c r="N358">
        <f t="shared" si="7"/>
        <v>298</v>
      </c>
      <c r="P3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Row],[orderNum]],ТабПозиции[orderSumm])&gt;1500),ABS(N358*VLOOKUP(ТабПозиции[[#This Row],[orderNum]],ТабЗаказы[#Data],MATCH("Percent",ТабЗаказы[#Headers],0),0))/100,200/COUNTIF(ТабПозиции[orderNum],ТабПозиции[[#This Row],[orderNum]])),0),"")</f>
        <v>45</v>
      </c>
      <c r="Q358">
        <f>IF(OR(ТабПозиции[[#This Row],[item]]="По штрихкоду",ТабПозиции[[#This Row],[item]]="Посылка"),ТабПозиции[[#This Row],[deliverySumm]]+ТабПозиции[[#This Row],[deliveryPost]],SUM(N358:P358))</f>
        <v>343</v>
      </c>
      <c r="R358" s="41">
        <v>343</v>
      </c>
      <c r="S358" s="46">
        <f>ТабПозиции[[#This Row],[totalSumm]]-ТабПозиции[[#This Row],[payment]]</f>
        <v>0</v>
      </c>
      <c r="T358" s="18" t="s">
        <v>580</v>
      </c>
      <c r="U358" s="40" t="s">
        <v>545</v>
      </c>
      <c r="V358" s="40" t="s">
        <v>545</v>
      </c>
      <c r="W358" s="40" t="s">
        <v>545</v>
      </c>
      <c r="X358" s="3"/>
      <c r="Y358"/>
    </row>
    <row r="359" spans="1:25" hidden="1" x14ac:dyDescent="0.25">
      <c r="A359" s="10">
        <v>99</v>
      </c>
      <c r="B359" s="1">
        <f>IFERROR(VLOOKUP(ТабПозиции[[#This Row],[orderNum]],ТабЗаказы[#Data],MATCH(B$7,ТабЗаказы[#Headers],0),0),"")</f>
        <v>45425</v>
      </c>
      <c r="C359" t="str">
        <f>MONTH(ТабПозиции[[#This Row],[date]])&amp;"/"&amp;YEAR(ТабПозиции[[#This Row],[date]])</f>
        <v>5/2024</v>
      </c>
      <c r="D359" s="1" t="str">
        <f>IFERROR(VLOOKUP(ТабПозиции[[#This Row],[orderNum]],ТабЗаказы[#Data],MATCH(D$7,ТабЗаказы[#Headers],0),0),"")</f>
        <v/>
      </c>
      <c r="E359" s="1" t="str">
        <f>IFERROR(VLOOKUP(ТабПозиции[[#This Row],[orderNum]],ТабЗаказы[#Data],MATCH(E$7,ТабЗаказы[#Headers],0),0),"")</f>
        <v/>
      </c>
      <c r="F359" s="16" t="s">
        <v>713</v>
      </c>
      <c r="G359" s="40" t="s">
        <v>545</v>
      </c>
      <c r="I359" s="18">
        <v>45427</v>
      </c>
      <c r="J359" s="10">
        <v>1</v>
      </c>
      <c r="K359" s="10">
        <v>191</v>
      </c>
      <c r="L359">
        <v>191</v>
      </c>
      <c r="M359" s="10">
        <v>195</v>
      </c>
      <c r="N359">
        <f t="shared" si="7"/>
        <v>195</v>
      </c>
      <c r="P3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Row],[orderNum]],ТабПозиции[orderSumm])&gt;1500),ABS(N359*VLOOKUP(ТабПозиции[[#This Row],[orderNum]],ТабЗаказы[#Data],MATCH("Percent",ТабЗаказы[#Headers],0),0))/100,200/COUNTIF(ТабПозиции[orderNum],ТабПозиции[[#This Row],[orderNum]])),0),"")</f>
        <v>29</v>
      </c>
      <c r="Q359">
        <f>IF(OR(ТабПозиции[[#This Row],[item]]="По штрихкоду",ТабПозиции[[#This Row],[item]]="Посылка"),ТабПозиции[[#This Row],[deliverySumm]]+ТабПозиции[[#This Row],[deliveryPost]],SUM(N359:P359))</f>
        <v>224</v>
      </c>
      <c r="R359" s="41">
        <v>224</v>
      </c>
      <c r="S359" s="46">
        <f>ТабПозиции[[#This Row],[totalSumm]]-ТабПозиции[[#This Row],[payment]]</f>
        <v>0</v>
      </c>
      <c r="T359" s="18" t="s">
        <v>580</v>
      </c>
      <c r="U359" s="40" t="s">
        <v>545</v>
      </c>
      <c r="V359" s="40" t="s">
        <v>545</v>
      </c>
      <c r="W359" s="40" t="s">
        <v>545</v>
      </c>
      <c r="X359" s="3"/>
      <c r="Y359"/>
    </row>
    <row r="360" spans="1:25" hidden="1" x14ac:dyDescent="0.25">
      <c r="A360" s="10">
        <v>99</v>
      </c>
      <c r="B360" s="1">
        <f>IFERROR(VLOOKUP(ТабПозиции[[#This Row],[orderNum]],ТабЗаказы[#Data],MATCH(B$7,ТабЗаказы[#Headers],0),0),"")</f>
        <v>45425</v>
      </c>
      <c r="C360" t="str">
        <f>MONTH(ТабПозиции[[#This Row],[date]])&amp;"/"&amp;YEAR(ТабПозиции[[#This Row],[date]])</f>
        <v>5/2024</v>
      </c>
      <c r="D360" s="1" t="str">
        <f>IFERROR(VLOOKUP(ТабПозиции[[#This Row],[orderNum]],ТабЗаказы[#Data],MATCH(D$7,ТабЗаказы[#Headers],0),0),"")</f>
        <v/>
      </c>
      <c r="E360" s="1" t="str">
        <f>IFERROR(VLOOKUP(ТабПозиции[[#This Row],[orderNum]],ТабЗаказы[#Data],MATCH(E$7,ТабЗаказы[#Headers],0),0),"")</f>
        <v/>
      </c>
      <c r="F360" s="16" t="s">
        <v>875</v>
      </c>
      <c r="G360" s="40" t="s">
        <v>545</v>
      </c>
      <c r="I360" s="18">
        <v>45427</v>
      </c>
      <c r="J360" s="10">
        <v>1</v>
      </c>
      <c r="K360" s="10">
        <v>131</v>
      </c>
      <c r="L360">
        <v>131</v>
      </c>
      <c r="M360" s="10">
        <v>137</v>
      </c>
      <c r="N360">
        <f t="shared" si="7"/>
        <v>137</v>
      </c>
      <c r="O360" s="36"/>
      <c r="P3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Row],[orderNum]],ТабПозиции[orderSumm])&gt;1500),ABS(N360*VLOOKUP(ТабПозиции[[#This Row],[orderNum]],ТабЗаказы[#Data],MATCH("Percent",ТабЗаказы[#Headers],0),0))/100,200/COUNTIF(ТабПозиции[orderNum],ТабПозиции[[#This Row],[orderNum]])),0),"")</f>
        <v>21</v>
      </c>
      <c r="Q360">
        <f>IF(OR(ТабПозиции[[#This Row],[item]]="По штрихкоду",ТабПозиции[[#This Row],[item]]="Посылка"),ТабПозиции[[#This Row],[deliverySumm]]+ТабПозиции[[#This Row],[deliveryPost]],SUM(N360:P360))</f>
        <v>158</v>
      </c>
      <c r="R360" s="41">
        <v>158</v>
      </c>
      <c r="S360" s="46">
        <f>ТабПозиции[[#This Row],[totalSumm]]-ТабПозиции[[#This Row],[payment]]</f>
        <v>0</v>
      </c>
      <c r="T360" s="18" t="s">
        <v>563</v>
      </c>
      <c r="U360" s="40" t="s">
        <v>545</v>
      </c>
      <c r="V360" s="40" t="s">
        <v>545</v>
      </c>
      <c r="W360" s="40" t="s">
        <v>545</v>
      </c>
      <c r="X360" s="3"/>
      <c r="Y360"/>
    </row>
    <row r="361" spans="1:25" hidden="1" x14ac:dyDescent="0.25">
      <c r="A361" s="10">
        <v>99</v>
      </c>
      <c r="B361" s="1">
        <f>IFERROR(VLOOKUP(ТабПозиции[[#This Row],[orderNum]],ТабЗаказы[#Data],MATCH(B$7,ТабЗаказы[#Headers],0),0),"")</f>
        <v>45425</v>
      </c>
      <c r="C361" t="str">
        <f>MONTH(ТабПозиции[[#This Row],[date]])&amp;"/"&amp;YEAR(ТабПозиции[[#This Row],[date]])</f>
        <v>5/2024</v>
      </c>
      <c r="D361" s="1" t="str">
        <f>IFERROR(VLOOKUP(ТабПозиции[[#This Row],[orderNum]],ТабЗаказы[#Data],MATCH(D$7,ТабЗаказы[#Headers],0),0),"")</f>
        <v/>
      </c>
      <c r="E361" s="1" t="str">
        <f>IFERROR(VLOOKUP(ТабПозиции[[#This Row],[orderNum]],ТабЗаказы[#Data],MATCH(E$7,ТабЗаказы[#Headers],0),0),"")</f>
        <v/>
      </c>
      <c r="F361" s="16" t="s">
        <v>876</v>
      </c>
      <c r="G361" s="40" t="s">
        <v>545</v>
      </c>
      <c r="I361" s="18">
        <v>45427</v>
      </c>
      <c r="J361" s="10">
        <v>1</v>
      </c>
      <c r="K361" s="10">
        <v>383</v>
      </c>
      <c r="L361">
        <v>383</v>
      </c>
      <c r="M361" s="10">
        <v>391</v>
      </c>
      <c r="N361">
        <f t="shared" si="7"/>
        <v>391</v>
      </c>
      <c r="P3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Row],[orderNum]],ТабПозиции[orderSumm])&gt;1500),ABS(N361*VLOOKUP(ТабПозиции[[#This Row],[orderNum]],ТабЗаказы[#Data],MATCH("Percent",ТабЗаказы[#Headers],0),0))/100,200/COUNTIF(ТабПозиции[orderNum],ТабПозиции[[#This Row],[orderNum]])),0),"")</f>
        <v>59</v>
      </c>
      <c r="Q361">
        <f>IF(OR(ТабПозиции[[#This Row],[item]]="По штрихкоду",ТабПозиции[[#This Row],[item]]="Посылка"),ТабПозиции[[#This Row],[deliverySumm]]+ТабПозиции[[#This Row],[deliveryPost]],SUM(N361:P361))</f>
        <v>450</v>
      </c>
      <c r="R361" s="41">
        <v>450</v>
      </c>
      <c r="S361" s="46">
        <f>ТабПозиции[[#This Row],[totalSumm]]-ТабПозиции[[#This Row],[payment]]</f>
        <v>0</v>
      </c>
      <c r="T361" s="18" t="s">
        <v>580</v>
      </c>
      <c r="U361" s="40" t="s">
        <v>545</v>
      </c>
      <c r="V361" s="40" t="s">
        <v>545</v>
      </c>
      <c r="W361" s="40" t="s">
        <v>545</v>
      </c>
      <c r="X361" s="3"/>
      <c r="Y361"/>
    </row>
    <row r="362" spans="1:25" hidden="1" x14ac:dyDescent="0.25">
      <c r="A362" s="10">
        <v>99</v>
      </c>
      <c r="B362" s="1">
        <f>IFERROR(VLOOKUP(ТабПозиции[[#This Row],[orderNum]],ТабЗаказы[#Data],MATCH(B$7,ТабЗаказы[#Headers],0),0),"")</f>
        <v>45425</v>
      </c>
      <c r="C362" t="str">
        <f>MONTH(ТабПозиции[[#This Row],[date]])&amp;"/"&amp;YEAR(ТабПозиции[[#This Row],[date]])</f>
        <v>5/2024</v>
      </c>
      <c r="D362" s="1" t="str">
        <f>IFERROR(VLOOKUP(ТабПозиции[[#This Row],[orderNum]],ТабЗаказы[#Data],MATCH(D$7,ТабЗаказы[#Headers],0),0),"")</f>
        <v/>
      </c>
      <c r="E362" s="1" t="str">
        <f>IFERROR(VLOOKUP(ТабПозиции[[#This Row],[orderNum]],ТабЗаказы[#Data],MATCH(E$7,ТабЗаказы[#Headers],0),0),"")</f>
        <v/>
      </c>
      <c r="F362" s="16" t="s">
        <v>877</v>
      </c>
      <c r="G362" s="49" t="s">
        <v>545</v>
      </c>
      <c r="I362" s="18">
        <v>45431</v>
      </c>
      <c r="J362" s="10">
        <v>1</v>
      </c>
      <c r="K362" s="10">
        <v>567</v>
      </c>
      <c r="L362">
        <v>567</v>
      </c>
      <c r="M362" s="10">
        <v>714</v>
      </c>
      <c r="N362">
        <f t="shared" si="7"/>
        <v>714</v>
      </c>
      <c r="P3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Row],[orderNum]],ТабПозиции[orderSumm])&gt;1500),ABS(N362*VLOOKUP(ТабПозиции[[#This Row],[orderNum]],ТабЗаказы[#Data],MATCH("Percent",ТабЗаказы[#Headers],0),0))/100,200/COUNTIF(ТабПозиции[orderNum],ТабПозиции[[#This Row],[orderNum]])),0),"")</f>
        <v>107</v>
      </c>
      <c r="Q362">
        <f>IF(OR(ТабПозиции[[#This Row],[item]]="По штрихкоду",ТабПозиции[[#This Row],[item]]="Посылка"),ТабПозиции[[#This Row],[deliverySumm]]+ТабПозиции[[#This Row],[deliveryPost]],SUM(N362:P362))</f>
        <v>821</v>
      </c>
      <c r="R362" s="41">
        <v>821</v>
      </c>
      <c r="S362" s="46">
        <f>ТабПозиции[[#This Row],[totalSumm]]-ТабПозиции[[#This Row],[payment]]</f>
        <v>0</v>
      </c>
      <c r="T362" s="18" t="s">
        <v>580</v>
      </c>
      <c r="U362" s="40" t="s">
        <v>545</v>
      </c>
      <c r="V362" s="40" t="s">
        <v>545</v>
      </c>
      <c r="W362" s="40" t="s">
        <v>545</v>
      </c>
      <c r="X362" s="3"/>
      <c r="Y362"/>
    </row>
    <row r="363" spans="1:25" hidden="1" x14ac:dyDescent="0.25">
      <c r="A363" s="10">
        <v>101</v>
      </c>
      <c r="B363" s="1">
        <f>IFERROR(VLOOKUP(ТабПозиции[[#This Row],[orderNum]],ТабЗаказы[#Data],MATCH(B$7,ТабЗаказы[#Headers],0),0),"")</f>
        <v>45425</v>
      </c>
      <c r="C363" t="str">
        <f>MONTH(ТабПозиции[[#This Row],[date]])&amp;"/"&amp;YEAR(ТабПозиции[[#This Row],[date]])</f>
        <v>5/2024</v>
      </c>
      <c r="D363" s="1" t="str">
        <f>IFERROR(VLOOKUP(ТабПозиции[[#This Row],[orderNum]],ТабЗаказы[#Data],MATCH(D$7,ТабЗаказы[#Headers],0),0),"")</f>
        <v/>
      </c>
      <c r="E363" s="1" t="str">
        <f>IFERROR(VLOOKUP(ТабПозиции[[#This Row],[orderNum]],ТабЗаказы[#Data],MATCH(E$7,ТабЗаказы[#Headers],0),0),"")</f>
        <v/>
      </c>
      <c r="F363" s="16" t="s">
        <v>878</v>
      </c>
      <c r="G363" s="40" t="s">
        <v>545</v>
      </c>
      <c r="I363" s="18">
        <v>45428</v>
      </c>
      <c r="J363" s="10">
        <v>1</v>
      </c>
      <c r="K363" s="10">
        <v>4522</v>
      </c>
      <c r="L363">
        <v>4522</v>
      </c>
      <c r="M363" s="10">
        <v>4711</v>
      </c>
      <c r="N363">
        <f t="shared" si="7"/>
        <v>4711</v>
      </c>
      <c r="P3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Row],[orderNum]],ТабПозиции[orderSumm])&gt;1500),ABS(N363*VLOOKUP(ТабПозиции[[#This Row],[orderNum]],ТабЗаказы[#Data],MATCH("Percent",ТабЗаказы[#Headers],0),0))/100,200/COUNTIF(ТабПозиции[orderNum],ТабПозиции[[#This Row],[orderNum]])),0),"")</f>
        <v>707</v>
      </c>
      <c r="Q363">
        <f>IF(OR(ТабПозиции[[#This Row],[item]]="По штрихкоду",ТабПозиции[[#This Row],[item]]="Посылка"),ТабПозиции[[#This Row],[deliverySumm]]+ТабПозиции[[#This Row],[deliveryPost]],SUM(N363:P363))</f>
        <v>5418</v>
      </c>
      <c r="R363" s="41">
        <v>5418</v>
      </c>
      <c r="S363" s="46">
        <f>ТабПозиции[[#This Row],[totalSumm]]-ТабПозиции[[#This Row],[payment]]</f>
        <v>0</v>
      </c>
      <c r="T363" s="18" t="s">
        <v>563</v>
      </c>
      <c r="U363" s="40" t="s">
        <v>545</v>
      </c>
      <c r="V363" s="40" t="s">
        <v>545</v>
      </c>
      <c r="W363" s="40" t="s">
        <v>545</v>
      </c>
      <c r="X363" s="3"/>
      <c r="Y363"/>
    </row>
    <row r="364" spans="1:25" hidden="1" x14ac:dyDescent="0.25">
      <c r="A364" s="10">
        <v>101</v>
      </c>
      <c r="B364" s="1">
        <f>IFERROR(VLOOKUP(ТабПозиции[[#This Row],[orderNum]],ТабЗаказы[#Data],MATCH(B$7,ТабЗаказы[#Headers],0),0),"")</f>
        <v>45425</v>
      </c>
      <c r="C364" t="str">
        <f>MONTH(ТабПозиции[[#This Row],[date]])&amp;"/"&amp;YEAR(ТабПозиции[[#This Row],[date]])</f>
        <v>5/2024</v>
      </c>
      <c r="D364" s="1" t="str">
        <f>IFERROR(VLOOKUP(ТабПозиции[[#This Row],[orderNum]],ТабЗаказы[#Data],MATCH(D$7,ТабЗаказы[#Headers],0),0),"")</f>
        <v/>
      </c>
      <c r="E364" s="1" t="str">
        <f>IFERROR(VLOOKUP(ТабПозиции[[#This Row],[orderNum]],ТабЗаказы[#Data],MATCH(E$7,ТабЗаказы[#Headers],0),0),"")</f>
        <v/>
      </c>
      <c r="F364" s="16" t="s">
        <v>879</v>
      </c>
      <c r="G364" s="40" t="s">
        <v>545</v>
      </c>
      <c r="I364" s="18">
        <v>45427</v>
      </c>
      <c r="J364" s="10">
        <v>1</v>
      </c>
      <c r="K364" s="10">
        <v>571</v>
      </c>
      <c r="L364">
        <v>571</v>
      </c>
      <c r="M364" s="10">
        <v>595</v>
      </c>
      <c r="N364">
        <f t="shared" si="7"/>
        <v>595</v>
      </c>
      <c r="P3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Row],[orderNum]],ТабПозиции[orderSumm])&gt;1500),ABS(N364*VLOOKUP(ТабПозиции[[#This Row],[orderNum]],ТабЗаказы[#Data],MATCH("Percent",ТабЗаказы[#Headers],0),0))/100,200/COUNTIF(ТабПозиции[orderNum],ТабПозиции[[#This Row],[orderNum]])),0),"")</f>
        <v>89</v>
      </c>
      <c r="Q364">
        <f>IF(OR(ТабПозиции[[#This Row],[item]]="По штрихкоду",ТабПозиции[[#This Row],[item]]="Посылка"),ТабПозиции[[#This Row],[deliverySumm]]+ТабПозиции[[#This Row],[deliveryPost]],SUM(N364:P364))</f>
        <v>684</v>
      </c>
      <c r="R364" s="41">
        <v>684</v>
      </c>
      <c r="S364" s="46">
        <f>ТабПозиции[[#This Row],[totalSumm]]-ТабПозиции[[#This Row],[payment]]</f>
        <v>0</v>
      </c>
      <c r="T364" s="18" t="s">
        <v>563</v>
      </c>
      <c r="U364" s="40" t="s">
        <v>545</v>
      </c>
      <c r="V364" s="40" t="s">
        <v>545</v>
      </c>
      <c r="W364" s="40" t="s">
        <v>545</v>
      </c>
      <c r="X364" s="3"/>
      <c r="Y364"/>
    </row>
    <row r="365" spans="1:25" hidden="1" x14ac:dyDescent="0.25">
      <c r="A365" s="10">
        <v>101</v>
      </c>
      <c r="B365" s="1">
        <f>IFERROR(VLOOKUP(ТабПозиции[[#This Row],[orderNum]],ТабЗаказы[#Data],MATCH(B$7,ТабЗаказы[#Headers],0),0),"")</f>
        <v>45425</v>
      </c>
      <c r="C365" t="str">
        <f>MONTH(ТабПозиции[[#This Row],[date]])&amp;"/"&amp;YEAR(ТабПозиции[[#This Row],[date]])</f>
        <v>5/2024</v>
      </c>
      <c r="D365" s="1" t="str">
        <f>IFERROR(VLOOKUP(ТабПозиции[[#This Row],[orderNum]],ТабЗаказы[#Data],MATCH(D$7,ТабЗаказы[#Headers],0),0),"")</f>
        <v/>
      </c>
      <c r="E365" s="1" t="str">
        <f>IFERROR(VLOOKUP(ТабПозиции[[#This Row],[orderNum]],ТабЗаказы[#Data],MATCH(E$7,ТабЗаказы[#Headers],0),0),"")</f>
        <v/>
      </c>
      <c r="F365" s="16" t="s">
        <v>880</v>
      </c>
      <c r="G365" s="40" t="s">
        <v>545</v>
      </c>
      <c r="I365" s="18">
        <v>45428</v>
      </c>
      <c r="J365" s="10">
        <v>1</v>
      </c>
      <c r="K365" s="10">
        <v>422</v>
      </c>
      <c r="L365">
        <v>422</v>
      </c>
      <c r="M365" s="10">
        <v>440</v>
      </c>
      <c r="N365">
        <f t="shared" si="7"/>
        <v>440</v>
      </c>
      <c r="P3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Row],[orderNum]],ТабПозиции[orderSumm])&gt;1500),ABS(N365*VLOOKUP(ТабПозиции[[#This Row],[orderNum]],ТабЗаказы[#Data],MATCH("Percent",ТабЗаказы[#Headers],0),0))/100,200/COUNTIF(ТабПозиции[orderNum],ТабПозиции[[#This Row],[orderNum]])),0),"")</f>
        <v>66</v>
      </c>
      <c r="Q365">
        <f>IF(OR(ТабПозиции[[#This Row],[item]]="По штрихкоду",ТабПозиции[[#This Row],[item]]="Посылка"),ТабПозиции[[#This Row],[deliverySumm]]+ТабПозиции[[#This Row],[deliveryPost]],SUM(N365:P365))</f>
        <v>506</v>
      </c>
      <c r="R365" s="41">
        <v>506</v>
      </c>
      <c r="S365" s="46">
        <f>ТабПозиции[[#This Row],[totalSumm]]-ТабПозиции[[#This Row],[payment]]</f>
        <v>0</v>
      </c>
      <c r="T365" s="18" t="s">
        <v>563</v>
      </c>
      <c r="U365" s="40" t="s">
        <v>545</v>
      </c>
      <c r="V365" s="40" t="s">
        <v>545</v>
      </c>
      <c r="W365" s="40" t="s">
        <v>545</v>
      </c>
      <c r="X365" s="3"/>
      <c r="Y365"/>
    </row>
    <row r="366" spans="1:25" hidden="1" x14ac:dyDescent="0.25">
      <c r="A366" s="10">
        <v>101</v>
      </c>
      <c r="B366" s="1">
        <f>IFERROR(VLOOKUP(ТабПозиции[[#This Row],[orderNum]],ТабЗаказы[#Data],MATCH(B$7,ТабЗаказы[#Headers],0),0),"")</f>
        <v>45425</v>
      </c>
      <c r="C366" t="str">
        <f>MONTH(ТабПозиции[[#This Row],[date]])&amp;"/"&amp;YEAR(ТабПозиции[[#This Row],[date]])</f>
        <v>5/2024</v>
      </c>
      <c r="D366" s="1" t="str">
        <f>IFERROR(VLOOKUP(ТабПозиции[[#This Row],[orderNum]],ТабЗаказы[#Data],MATCH(D$7,ТабЗаказы[#Headers],0),0),"")</f>
        <v/>
      </c>
      <c r="E366" s="1" t="str">
        <f>IFERROR(VLOOKUP(ТабПозиции[[#This Row],[orderNum]],ТабЗаказы[#Data],MATCH(E$7,ТабЗаказы[#Headers],0),0),"")</f>
        <v/>
      </c>
      <c r="F366" s="16" t="s">
        <v>881</v>
      </c>
      <c r="G366" s="40" t="s">
        <v>545</v>
      </c>
      <c r="I366" s="18">
        <v>45428</v>
      </c>
      <c r="J366" s="10">
        <v>1</v>
      </c>
      <c r="K366" s="10">
        <v>745</v>
      </c>
      <c r="L366">
        <v>745</v>
      </c>
      <c r="M366" s="10">
        <v>777</v>
      </c>
      <c r="N366">
        <f t="shared" si="7"/>
        <v>777</v>
      </c>
      <c r="P3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Row],[orderNum]],ТабПозиции[orderSumm])&gt;1500),ABS(N366*VLOOKUP(ТабПозиции[[#This Row],[orderNum]],ТабЗаказы[#Data],MATCH("Percent",ТабЗаказы[#Headers],0),0))/100,200/COUNTIF(ТабПозиции[orderNum],ТабПозиции[[#This Row],[orderNum]])),0),"")</f>
        <v>117</v>
      </c>
      <c r="Q366">
        <f>IF(OR(ТабПозиции[[#This Row],[item]]="По штрихкоду",ТабПозиции[[#This Row],[item]]="Посылка"),ТабПозиции[[#This Row],[deliverySumm]]+ТабПозиции[[#This Row],[deliveryPost]],SUM(N366:P366))</f>
        <v>894</v>
      </c>
      <c r="R366" s="41">
        <v>894</v>
      </c>
      <c r="S366" s="46">
        <f>ТабПозиции[[#This Row],[totalSumm]]-ТабПозиции[[#This Row],[payment]]</f>
        <v>0</v>
      </c>
      <c r="T366" s="18" t="s">
        <v>563</v>
      </c>
      <c r="U366" s="40" t="s">
        <v>545</v>
      </c>
      <c r="V366" s="40" t="s">
        <v>545</v>
      </c>
      <c r="W366" s="40" t="s">
        <v>545</v>
      </c>
      <c r="X366" s="3"/>
      <c r="Y366"/>
    </row>
    <row r="367" spans="1:25" hidden="1" x14ac:dyDescent="0.25">
      <c r="A367" s="10">
        <v>101</v>
      </c>
      <c r="B367" s="1">
        <f>IFERROR(VLOOKUP(ТабПозиции[[#This Row],[orderNum]],ТабЗаказы[#Data],MATCH(B$7,ТабЗаказы[#Headers],0),0),"")</f>
        <v>45425</v>
      </c>
      <c r="C367" t="str">
        <f>MONTH(ТабПозиции[[#This Row],[date]])&amp;"/"&amp;YEAR(ТабПозиции[[#This Row],[date]])</f>
        <v>5/2024</v>
      </c>
      <c r="D367" s="1" t="str">
        <f>IFERROR(VLOOKUP(ТабПозиции[[#This Row],[orderNum]],ТабЗаказы[#Data],MATCH(D$7,ТабЗаказы[#Headers],0),0),"")</f>
        <v/>
      </c>
      <c r="E367" s="1" t="str">
        <f>IFERROR(VLOOKUP(ТабПозиции[[#This Row],[orderNum]],ТабЗаказы[#Data],MATCH(E$7,ТабЗаказы[#Headers],0),0),"")</f>
        <v/>
      </c>
      <c r="F367" s="16" t="s">
        <v>882</v>
      </c>
      <c r="G367" s="40" t="s">
        <v>545</v>
      </c>
      <c r="I367" s="18">
        <v>45428</v>
      </c>
      <c r="J367" s="10">
        <v>1</v>
      </c>
      <c r="K367" s="10">
        <v>293</v>
      </c>
      <c r="L367">
        <v>293</v>
      </c>
      <c r="M367" s="10">
        <v>306</v>
      </c>
      <c r="N367">
        <f t="shared" si="7"/>
        <v>306</v>
      </c>
      <c r="P3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Row],[orderNum]],ТабПозиции[orderSumm])&gt;1500),ABS(N367*VLOOKUP(ТабПозиции[[#This Row],[orderNum]],ТабЗаказы[#Data],MATCH("Percent",ТабЗаказы[#Headers],0),0))/100,200/COUNTIF(ТабПозиции[orderNum],ТабПозиции[[#This Row],[orderNum]])),0),"")</f>
        <v>46</v>
      </c>
      <c r="Q367">
        <f>IF(OR(ТабПозиции[[#This Row],[item]]="По штрихкоду",ТабПозиции[[#This Row],[item]]="Посылка"),ТабПозиции[[#This Row],[deliverySumm]]+ТабПозиции[[#This Row],[deliveryPost]],SUM(N367:P367))</f>
        <v>352</v>
      </c>
      <c r="R367" s="41">
        <v>352</v>
      </c>
      <c r="S367" s="46">
        <f>ТабПозиции[[#This Row],[totalSumm]]-ТабПозиции[[#This Row],[payment]]</f>
        <v>0</v>
      </c>
      <c r="T367" s="18" t="s">
        <v>563</v>
      </c>
      <c r="U367" s="40" t="s">
        <v>545</v>
      </c>
      <c r="V367" s="40" t="s">
        <v>545</v>
      </c>
      <c r="W367" s="40" t="s">
        <v>545</v>
      </c>
      <c r="X367" s="3"/>
      <c r="Y367"/>
    </row>
    <row r="368" spans="1:25" hidden="1" x14ac:dyDescent="0.25">
      <c r="A368" s="10">
        <v>101</v>
      </c>
      <c r="B368" s="1">
        <f>IFERROR(VLOOKUP(ТабПозиции[[#This Row],[orderNum]],ТабЗаказы[#Data],MATCH(B$7,ТабЗаказы[#Headers],0),0),"")</f>
        <v>45425</v>
      </c>
      <c r="C368" t="str">
        <f>MONTH(ТабПозиции[[#This Row],[date]])&amp;"/"&amp;YEAR(ТабПозиции[[#This Row],[date]])</f>
        <v>5/2024</v>
      </c>
      <c r="D368" s="1" t="str">
        <f>IFERROR(VLOOKUP(ТабПозиции[[#This Row],[orderNum]],ТабЗаказы[#Data],MATCH(D$7,ТабЗаказы[#Headers],0),0),"")</f>
        <v/>
      </c>
      <c r="E368" s="1" t="str">
        <f>IFERROR(VLOOKUP(ТабПозиции[[#This Row],[orderNum]],ТабЗаказы[#Data],MATCH(E$7,ТабЗаказы[#Headers],0),0),"")</f>
        <v/>
      </c>
      <c r="F368" s="16" t="s">
        <v>883</v>
      </c>
      <c r="G368" s="40" t="s">
        <v>545</v>
      </c>
      <c r="I368" s="18">
        <v>45428</v>
      </c>
      <c r="J368" s="10">
        <v>1</v>
      </c>
      <c r="K368" s="10">
        <v>580</v>
      </c>
      <c r="L368">
        <v>580</v>
      </c>
      <c r="M368" s="10">
        <v>605</v>
      </c>
      <c r="N368">
        <f t="shared" si="7"/>
        <v>605</v>
      </c>
      <c r="P3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Row],[orderNum]],ТабПозиции[orderSumm])&gt;1500),ABS(N368*VLOOKUP(ТабПозиции[[#This Row],[orderNum]],ТабЗаказы[#Data],MATCH("Percent",ТабЗаказы[#Headers],0),0))/100,200/COUNTIF(ТабПозиции[orderNum],ТабПозиции[[#This Row],[orderNum]])),0),"")</f>
        <v>91</v>
      </c>
      <c r="Q368">
        <f>IF(OR(ТабПозиции[[#This Row],[item]]="По штрихкоду",ТабПозиции[[#This Row],[item]]="Посылка"),ТабПозиции[[#This Row],[deliverySumm]]+ТабПозиции[[#This Row],[deliveryPost]],SUM(N368:P368))</f>
        <v>696</v>
      </c>
      <c r="R368" s="41">
        <v>696</v>
      </c>
      <c r="S368" s="46">
        <f>ТабПозиции[[#This Row],[totalSumm]]-ТабПозиции[[#This Row],[payment]]</f>
        <v>0</v>
      </c>
      <c r="T368" s="18" t="s">
        <v>563</v>
      </c>
      <c r="U368" s="40" t="s">
        <v>545</v>
      </c>
      <c r="V368" s="40" t="s">
        <v>545</v>
      </c>
      <c r="W368" s="40" t="s">
        <v>545</v>
      </c>
      <c r="X368" s="3"/>
      <c r="Y368"/>
    </row>
    <row r="369" spans="1:25" hidden="1" x14ac:dyDescent="0.25">
      <c r="A369" s="10">
        <v>101</v>
      </c>
      <c r="B369" s="1">
        <f>IFERROR(VLOOKUP(ТабПозиции[[#This Row],[orderNum]],ТабЗаказы[#Data],MATCH(B$7,ТабЗаказы[#Headers],0),0),"")</f>
        <v>45425</v>
      </c>
      <c r="C369" t="str">
        <f>MONTH(ТабПозиции[[#This Row],[date]])&amp;"/"&amp;YEAR(ТабПозиции[[#This Row],[date]])</f>
        <v>5/2024</v>
      </c>
      <c r="D369" s="1" t="str">
        <f>IFERROR(VLOOKUP(ТабПозиции[[#This Row],[orderNum]],ТабЗаказы[#Data],MATCH(D$7,ТабЗаказы[#Headers],0),0),"")</f>
        <v/>
      </c>
      <c r="E369" s="1" t="str">
        <f>IFERROR(VLOOKUP(ТабПозиции[[#This Row],[orderNum]],ТабЗаказы[#Data],MATCH(E$7,ТабЗаказы[#Headers],0),0),"")</f>
        <v/>
      </c>
      <c r="F369" s="16" t="s">
        <v>884</v>
      </c>
      <c r="G369" s="40" t="s">
        <v>545</v>
      </c>
      <c r="I369" s="18">
        <v>45428</v>
      </c>
      <c r="J369" s="10">
        <v>1</v>
      </c>
      <c r="K369" s="10">
        <v>587</v>
      </c>
      <c r="L369">
        <v>587</v>
      </c>
      <c r="M369" s="10">
        <v>612</v>
      </c>
      <c r="N369">
        <f t="shared" si="7"/>
        <v>612</v>
      </c>
      <c r="P3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Row],[orderNum]],ТабПозиции[orderSumm])&gt;1500),ABS(N369*VLOOKUP(ТабПозиции[[#This Row],[orderNum]],ТабЗаказы[#Data],MATCH("Percent",ТабЗаказы[#Headers],0),0))/100,200/COUNTIF(ТабПозиции[orderNum],ТабПозиции[[#This Row],[orderNum]])),0),"")</f>
        <v>92</v>
      </c>
      <c r="Q369">
        <f>IF(OR(ТабПозиции[[#This Row],[item]]="По штрихкоду",ТабПозиции[[#This Row],[item]]="Посылка"),ТабПозиции[[#This Row],[deliverySumm]]+ТабПозиции[[#This Row],[deliveryPost]],SUM(N369:P369))</f>
        <v>704</v>
      </c>
      <c r="R369" s="41">
        <v>704</v>
      </c>
      <c r="S369" s="46">
        <f>ТабПозиции[[#This Row],[totalSumm]]-ТабПозиции[[#This Row],[payment]]</f>
        <v>0</v>
      </c>
      <c r="T369" s="18" t="s">
        <v>563</v>
      </c>
      <c r="U369" s="40" t="s">
        <v>545</v>
      </c>
      <c r="V369" s="40" t="s">
        <v>545</v>
      </c>
      <c r="W369" s="40" t="s">
        <v>545</v>
      </c>
      <c r="X369" s="3"/>
      <c r="Y369"/>
    </row>
    <row r="370" spans="1:25" hidden="1" x14ac:dyDescent="0.25">
      <c r="A370" s="10">
        <v>101</v>
      </c>
      <c r="B370" s="1">
        <f>IFERROR(VLOOKUP(ТабПозиции[[#This Row],[orderNum]],ТабЗаказы[#Data],MATCH(B$7,ТабЗаказы[#Headers],0),0),"")</f>
        <v>45425</v>
      </c>
      <c r="C370" t="str">
        <f>MONTH(ТабПозиции[[#This Row],[date]])&amp;"/"&amp;YEAR(ТабПозиции[[#This Row],[date]])</f>
        <v>5/2024</v>
      </c>
      <c r="D370" s="1" t="str">
        <f>IFERROR(VLOOKUP(ТабПозиции[[#This Row],[orderNum]],ТабЗаказы[#Data],MATCH(D$7,ТабЗаказы[#Headers],0),0),"")</f>
        <v/>
      </c>
      <c r="E370" s="1" t="str">
        <f>IFERROR(VLOOKUP(ТабПозиции[[#This Row],[orderNum]],ТабЗаказы[#Data],MATCH(E$7,ТабЗаказы[#Headers],0),0),"")</f>
        <v/>
      </c>
      <c r="F370" s="16" t="s">
        <v>885</v>
      </c>
      <c r="G370" s="40" t="s">
        <v>545</v>
      </c>
      <c r="I370" s="18">
        <v>45428</v>
      </c>
      <c r="J370" s="10">
        <v>1</v>
      </c>
      <c r="K370" s="10">
        <v>643</v>
      </c>
      <c r="L370">
        <v>643</v>
      </c>
      <c r="M370" s="10">
        <v>670</v>
      </c>
      <c r="N370">
        <f t="shared" si="7"/>
        <v>670</v>
      </c>
      <c r="P3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Row],[orderNum]],ТабПозиции[orderSumm])&gt;1500),ABS(N370*VLOOKUP(ТабПозиции[[#This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370">
        <f>IF(OR(ТабПозиции[[#This Row],[item]]="По штрихкоду",ТабПозиции[[#This Row],[item]]="Посылка"),ТабПозиции[[#This Row],[deliverySumm]]+ТабПозиции[[#This Row],[deliveryPost]],SUM(N370:P370))</f>
        <v>771</v>
      </c>
      <c r="R370" s="41">
        <v>771</v>
      </c>
      <c r="S370" s="46">
        <f>ТабПозиции[[#This Row],[totalSumm]]-ТабПозиции[[#This Row],[payment]]</f>
        <v>0</v>
      </c>
      <c r="T370" s="18" t="s">
        <v>563</v>
      </c>
      <c r="U370" s="40" t="s">
        <v>545</v>
      </c>
      <c r="V370" s="40" t="s">
        <v>545</v>
      </c>
      <c r="W370" s="40" t="s">
        <v>545</v>
      </c>
      <c r="X370" s="3"/>
      <c r="Y370"/>
    </row>
    <row r="371" spans="1:25" hidden="1" x14ac:dyDescent="0.25">
      <c r="A371" s="10">
        <v>102</v>
      </c>
      <c r="B371" s="1">
        <f>IFERROR(VLOOKUP(ТабПозиции[[#This Row],[orderNum]],ТабЗаказы[#Data],MATCH(B$7,ТабЗаказы[#Headers],0),0),"")</f>
        <v>45425</v>
      </c>
      <c r="C371" t="str">
        <f>MONTH(ТабПозиции[[#This Row],[date]])&amp;"/"&amp;YEAR(ТабПозиции[[#This Row],[date]])</f>
        <v>5/2024</v>
      </c>
      <c r="D371" s="1" t="str">
        <f>IFERROR(VLOOKUP(ТабПозиции[[#This Row],[orderNum]],ТабЗаказы[#Data],MATCH(D$7,ТабЗаказы[#Headers],0),0),"")</f>
        <v/>
      </c>
      <c r="E371" s="1" t="str">
        <f>IFERROR(VLOOKUP(ТабПозиции[[#This Row],[orderNum]],ТабЗаказы[#Data],MATCH(E$7,ТабЗаказы[#Headers],0),0),"")</f>
        <v/>
      </c>
      <c r="F371" s="16" t="s">
        <v>886</v>
      </c>
      <c r="G371" s="40" t="s">
        <v>545</v>
      </c>
      <c r="I371" s="18">
        <v>45427</v>
      </c>
      <c r="J371" s="10">
        <v>1</v>
      </c>
      <c r="K371" s="10">
        <v>591</v>
      </c>
      <c r="L371">
        <v>591</v>
      </c>
      <c r="M371" s="10">
        <v>637</v>
      </c>
      <c r="N371">
        <f t="shared" si="7"/>
        <v>637</v>
      </c>
      <c r="P3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Row],[orderNum]],ТабПозиции[orderSumm])&gt;1500),ABS(N371*VLOOKUP(ТабПозиции[[#This Row],[orderNum]],ТабЗаказы[#Data],MATCH("Percent",ТабЗаказы[#Headers],0),0))/100,200/COUNTIF(ТабПозиции[orderNum],ТабПозиции[[#This Row],[orderNum]])),0),"")</f>
        <v>96</v>
      </c>
      <c r="Q371">
        <f>IF(OR(ТабПозиции[[#This Row],[item]]="По штрихкоду",ТабПозиции[[#This Row],[item]]="Посылка"),ТабПозиции[[#This Row],[deliverySumm]]+ТабПозиции[[#This Row],[deliveryPost]],SUM(N371:P371))</f>
        <v>733</v>
      </c>
      <c r="R371" s="41">
        <v>733</v>
      </c>
      <c r="S371" s="46">
        <f>ТабПозиции[[#This Row],[totalSumm]]-ТабПозиции[[#This Row],[payment]]</f>
        <v>0</v>
      </c>
      <c r="T371" s="18" t="s">
        <v>580</v>
      </c>
      <c r="U371" s="40" t="s">
        <v>552</v>
      </c>
      <c r="V371" s="40" t="s">
        <v>552</v>
      </c>
      <c r="W371" s="40" t="s">
        <v>545</v>
      </c>
      <c r="X371" s="3"/>
      <c r="Y371"/>
    </row>
    <row r="372" spans="1:25" hidden="1" x14ac:dyDescent="0.25">
      <c r="A372" s="10">
        <v>102</v>
      </c>
      <c r="B372" s="1">
        <f>IFERROR(VLOOKUP(ТабПозиции[[#This Row],[orderNum]],ТабЗаказы[#Data],MATCH(B$7,ТабЗаказы[#Headers],0),0),"")</f>
        <v>45425</v>
      </c>
      <c r="C372" t="str">
        <f>MONTH(ТабПозиции[[#This Row],[date]])&amp;"/"&amp;YEAR(ТабПозиции[[#This Row],[date]])</f>
        <v>5/2024</v>
      </c>
      <c r="D372" s="1" t="str">
        <f>IFERROR(VLOOKUP(ТабПозиции[[#This Row],[orderNum]],ТабЗаказы[#Data],MATCH(D$7,ТабЗаказы[#Headers],0),0),"")</f>
        <v/>
      </c>
      <c r="E372" s="1" t="str">
        <f>IFERROR(VLOOKUP(ТабПозиции[[#This Row],[orderNum]],ТабЗаказы[#Data],MATCH(E$7,ТабЗаказы[#Headers],0),0),"")</f>
        <v/>
      </c>
      <c r="F372" s="16" t="s">
        <v>887</v>
      </c>
      <c r="G372" s="40" t="s">
        <v>545</v>
      </c>
      <c r="I372" s="18">
        <v>45427</v>
      </c>
      <c r="J372" s="10">
        <v>1</v>
      </c>
      <c r="K372" s="10">
        <v>1015</v>
      </c>
      <c r="L372">
        <v>1015</v>
      </c>
      <c r="M372" s="10">
        <v>1058</v>
      </c>
      <c r="N372">
        <f t="shared" si="7"/>
        <v>1058</v>
      </c>
      <c r="P3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Row],[orderNum]],ТабПозиции[orderSumm])&gt;1500),ABS(N372*VLOOKUP(ТабПозиции[[#This Row],[orderNum]],ТабЗаказы[#Data],MATCH("Percent",ТабЗаказы[#Headers],0),0))/100,200/COUNTIF(ТабПозиции[orderNum],ТабПозиции[[#This Row],[orderNum]])),0),"")</f>
        <v>159</v>
      </c>
      <c r="Q372">
        <f>IF(OR(ТабПозиции[[#This Row],[item]]="По штрихкоду",ТабПозиции[[#This Row],[item]]="Посылка"),ТабПозиции[[#This Row],[deliverySumm]]+ТабПозиции[[#This Row],[deliveryPost]],SUM(N372:P372))</f>
        <v>1217</v>
      </c>
      <c r="R372" s="41">
        <v>1217</v>
      </c>
      <c r="S372" s="46">
        <f>ТабПозиции[[#This Row],[totalSumm]]-ТабПозиции[[#This Row],[payment]]</f>
        <v>0</v>
      </c>
      <c r="T372" s="18" t="s">
        <v>563</v>
      </c>
      <c r="U372" s="40" t="s">
        <v>552</v>
      </c>
      <c r="V372" s="40" t="s">
        <v>552</v>
      </c>
      <c r="W372" s="40" t="s">
        <v>545</v>
      </c>
      <c r="X372" s="3"/>
      <c r="Y372"/>
    </row>
    <row r="373" spans="1:25" hidden="1" x14ac:dyDescent="0.25">
      <c r="A373" s="10">
        <v>103</v>
      </c>
      <c r="B373" s="1">
        <f>IFERROR(VLOOKUP(ТабПозиции[[#This Row],[orderNum]],ТабЗаказы[#Data],MATCH(B$7,ТабЗаказы[#Headers],0),0),"")</f>
        <v>45427</v>
      </c>
      <c r="C373" t="str">
        <f>MONTH(ТабПозиции[[#This Row],[date]])&amp;"/"&amp;YEAR(ТабПозиции[[#This Row],[date]])</f>
        <v>5/2024</v>
      </c>
      <c r="D373" s="1" t="str">
        <f>IFERROR(VLOOKUP(ТабПозиции[[#This Row],[orderNum]],ТабЗаказы[#Data],MATCH(D$7,ТабЗаказы[#Headers],0),0),"")</f>
        <v/>
      </c>
      <c r="E373" s="1" t="str">
        <f>IFERROR(VLOOKUP(ТабПозиции[[#This Row],[orderNum]],ТабЗаказы[#Data],MATCH(E$7,ТабЗаказы[#Headers],0),0),"")</f>
        <v/>
      </c>
      <c r="F373" s="16" t="s">
        <v>888</v>
      </c>
      <c r="G373" s="40" t="s">
        <v>545</v>
      </c>
      <c r="I373" s="18">
        <v>45430</v>
      </c>
      <c r="J373" s="10">
        <v>1</v>
      </c>
      <c r="K373" s="10">
        <v>765</v>
      </c>
      <c r="L373">
        <v>765</v>
      </c>
      <c r="M373" s="10">
        <v>827</v>
      </c>
      <c r="N373">
        <f t="shared" si="7"/>
        <v>827</v>
      </c>
      <c r="P3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Row],[orderNum]],ТабПозиции[orderSumm])&gt;1500),ABS(N373*VLOOKUP(ТабПозиции[[#This Row],[orderNum]],ТабЗаказы[#Data],MATCH("Percent",ТабЗаказы[#Headers],0),0))/100,200/COUNTIF(ТабПозиции[orderNum],ТабПозиции[[#This Row],[orderNum]])),0),"")</f>
        <v>124</v>
      </c>
      <c r="Q373">
        <f>IF(OR(ТабПозиции[[#This Row],[item]]="По штрихкоду",ТабПозиции[[#This Row],[item]]="Посылка"),ТабПозиции[[#This Row],[deliverySumm]]+ТабПозиции[[#This Row],[deliveryPost]],SUM(N373:P373))</f>
        <v>951</v>
      </c>
      <c r="R373" s="41">
        <v>951</v>
      </c>
      <c r="S373" s="46">
        <f>ТабПозиции[[#This Row],[totalSumm]]-ТабПозиции[[#This Row],[payment]]</f>
        <v>0</v>
      </c>
      <c r="T373" s="18" t="s">
        <v>580</v>
      </c>
      <c r="U373" s="40" t="s">
        <v>552</v>
      </c>
      <c r="V373" s="40" t="s">
        <v>545</v>
      </c>
      <c r="W373" s="40" t="s">
        <v>545</v>
      </c>
      <c r="X373" s="3"/>
      <c r="Y373"/>
    </row>
    <row r="374" spans="1:25" hidden="1" x14ac:dyDescent="0.25">
      <c r="A374" s="10">
        <v>103</v>
      </c>
      <c r="B374" s="1">
        <f>IFERROR(VLOOKUP(ТабПозиции[[#This Row],[orderNum]],ТабЗаказы[#Data],MATCH(B$7,ТабЗаказы[#Headers],0),0),"")</f>
        <v>45427</v>
      </c>
      <c r="C374" t="str">
        <f>MONTH(ТабПозиции[[#This Row],[date]])&amp;"/"&amp;YEAR(ТабПозиции[[#This Row],[date]])</f>
        <v>5/2024</v>
      </c>
      <c r="D374" s="1" t="str">
        <f>IFERROR(VLOOKUP(ТабПозиции[[#This Row],[orderNum]],ТабЗаказы[#Data],MATCH(D$7,ТабЗаказы[#Headers],0),0),"")</f>
        <v/>
      </c>
      <c r="E374" s="1" t="str">
        <f>IFERROR(VLOOKUP(ТабПозиции[[#This Row],[orderNum]],ТабЗаказы[#Data],MATCH(E$7,ТабЗаказы[#Headers],0),0),"")</f>
        <v/>
      </c>
      <c r="F374" s="16" t="s">
        <v>889</v>
      </c>
      <c r="G374" s="40" t="s">
        <v>545</v>
      </c>
      <c r="I374" s="18">
        <v>45431</v>
      </c>
      <c r="J374" s="10">
        <v>1</v>
      </c>
      <c r="K374" s="10">
        <v>1280</v>
      </c>
      <c r="L374">
        <v>1280</v>
      </c>
      <c r="M374" s="10">
        <v>1381</v>
      </c>
      <c r="N374">
        <f t="shared" si="7"/>
        <v>1381</v>
      </c>
      <c r="P3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Row],[orderNum]],ТабПозиции[orderSumm])&gt;1500),ABS(N374*VLOOKUP(ТабПозиции[[#This Row],[orderNum]],ТабЗаказы[#Data],MATCH("Percent",ТабЗаказы[#Headers],0),0))/100,200/COUNTIF(ТабПозиции[orderNum],ТабПозиции[[#This Row],[orderNum]])),0),"")</f>
        <v>207</v>
      </c>
      <c r="Q374">
        <f>IF(OR(ТабПозиции[[#This Row],[item]]="По штрихкоду",ТабПозиции[[#This Row],[item]]="Посылка"),ТабПозиции[[#This Row],[deliverySumm]]+ТабПозиции[[#This Row],[deliveryPost]],SUM(N374:P374))</f>
        <v>1588</v>
      </c>
      <c r="R374" s="41">
        <v>1588</v>
      </c>
      <c r="S374" s="46">
        <f>ТабПозиции[[#This Row],[totalSumm]]-ТабПозиции[[#This Row],[payment]]</f>
        <v>0</v>
      </c>
      <c r="T374" s="18" t="s">
        <v>580</v>
      </c>
      <c r="U374" s="40" t="s">
        <v>552</v>
      </c>
      <c r="V374" s="40" t="s">
        <v>545</v>
      </c>
      <c r="W374" s="40" t="s">
        <v>545</v>
      </c>
      <c r="X374" s="3"/>
      <c r="Y374"/>
    </row>
    <row r="375" spans="1:25" hidden="1" x14ac:dyDescent="0.25">
      <c r="A375" s="10">
        <v>104</v>
      </c>
      <c r="B375" s="1">
        <f>IFERROR(VLOOKUP(ТабПозиции[[#This Row],[orderNum]],ТабЗаказы[#Data],MATCH(B$7,ТабЗаказы[#Headers],0),0),"")</f>
        <v>45427</v>
      </c>
      <c r="C375" t="str">
        <f>MONTH(ТабПозиции[[#This Row],[date]])&amp;"/"&amp;YEAR(ТабПозиции[[#This Row],[date]])</f>
        <v>5/2024</v>
      </c>
      <c r="D375" s="1" t="str">
        <f>IFERROR(VLOOKUP(ТабПозиции[[#This Row],[orderNum]],ТабЗаказы[#Data],MATCH(D$7,ТабЗаказы[#Headers],0),0),"")</f>
        <v/>
      </c>
      <c r="E375" s="1" t="str">
        <f>IFERROR(VLOOKUP(ТабПозиции[[#This Row],[orderNum]],ТабЗаказы[#Data],MATCH(E$7,ТабЗаказы[#Headers],0),0),"")</f>
        <v/>
      </c>
      <c r="F375" s="10" t="s">
        <v>820</v>
      </c>
      <c r="G375" s="40" t="s">
        <v>545</v>
      </c>
      <c r="H375" s="12" t="s">
        <v>890</v>
      </c>
      <c r="I375" s="18">
        <v>45429</v>
      </c>
      <c r="J375" s="10">
        <v>1</v>
      </c>
      <c r="K375" s="10">
        <v>14000</v>
      </c>
      <c r="L375">
        <v>14000</v>
      </c>
      <c r="M375" s="10">
        <v>14000</v>
      </c>
      <c r="N375">
        <f t="shared" si="7"/>
        <v>14000</v>
      </c>
      <c r="O375" s="10">
        <v>650</v>
      </c>
      <c r="P3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Row],[orderNum]],ТабПозиции[orderSumm])&gt;1500),ABS(N375*VLOOKUP(ТабПозиции[[#This Row],[orderNum]],ТабЗаказы[#Data],MATCH("Percent",ТабЗаказы[#Headers],0),0))/100,200/COUNTIF(ТабПозиции[orderNum],ТабПозиции[[#This Row],[orderNum]])),0),"")</f>
        <v>1400</v>
      </c>
      <c r="Q375">
        <f>IF(OR(ТабПозиции[[#This Row],[item]]="По штрихкоду",ТабПозиции[[#This Row],[item]]="Посылка"),ТабПозиции[[#This Row],[deliverySumm]]+ТабПозиции[[#This Row],[deliveryPost]],SUM(N375:P375))</f>
        <v>2050</v>
      </c>
      <c r="R375" s="46">
        <v>2050</v>
      </c>
      <c r="S375" s="46">
        <f>ТабПозиции[[#This Row],[totalSumm]]-ТабПозиции[[#This Row],[payment]]</f>
        <v>0</v>
      </c>
      <c r="T375" s="18" t="s">
        <v>615</v>
      </c>
      <c r="U375" s="40" t="s">
        <v>552</v>
      </c>
      <c r="V375" s="40" t="s">
        <v>552</v>
      </c>
      <c r="W375" s="40" t="s">
        <v>545</v>
      </c>
      <c r="X375" s="3"/>
      <c r="Y375"/>
    </row>
    <row r="376" spans="1:25" hidden="1" x14ac:dyDescent="0.25">
      <c r="A376" s="10">
        <v>104</v>
      </c>
      <c r="B376" s="1">
        <f>IFERROR(VLOOKUP(ТабПозиции[[#This Row],[orderNum]],ТабЗаказы[#Data],MATCH(B$7,ТабЗаказы[#Headers],0),0),"")</f>
        <v>45427</v>
      </c>
      <c r="C376" t="str">
        <f>MONTH(ТабПозиции[[#This Row],[date]])&amp;"/"&amp;YEAR(ТабПозиции[[#This Row],[date]])</f>
        <v>5/2024</v>
      </c>
      <c r="D376" s="1" t="str">
        <f>IFERROR(VLOOKUP(ТабПозиции[[#This Row],[orderNum]],ТабЗаказы[#Data],MATCH(D$7,ТабЗаказы[#Headers],0),0),"")</f>
        <v/>
      </c>
      <c r="E376" s="1" t="str">
        <f>IFERROR(VLOOKUP(ТабПозиции[[#This Row],[orderNum]],ТабЗаказы[#Data],MATCH(E$7,ТабЗаказы[#Headers],0),0),"")</f>
        <v/>
      </c>
      <c r="F376" s="10" t="s">
        <v>820</v>
      </c>
      <c r="G376" s="40" t="s">
        <v>545</v>
      </c>
      <c r="H376" s="12" t="s">
        <v>891</v>
      </c>
      <c r="I376" s="18">
        <v>45432</v>
      </c>
      <c r="J376" s="10">
        <v>1</v>
      </c>
      <c r="K376" s="10">
        <v>4500</v>
      </c>
      <c r="L376">
        <v>4500</v>
      </c>
      <c r="M376" s="10">
        <v>4500</v>
      </c>
      <c r="N376">
        <f t="shared" si="7"/>
        <v>4500</v>
      </c>
      <c r="O376" s="10">
        <v>400</v>
      </c>
      <c r="P3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Row],[orderNum]],ТабПозиции[orderSumm])&gt;1500),ABS(N376*VLOOKUP(ТабПозиции[[#This Row],[orderNum]],ТабЗаказы[#Data],MATCH("Percent",ТабЗаказы[#Headers],0),0))/100,200/COUNTIF(ТабПозиции[orderNum],ТабПозиции[[#This Row],[orderNum]])),0),"")</f>
        <v>450</v>
      </c>
      <c r="Q376">
        <f>IF(OR(ТабПозиции[[#This Row],[item]]="По штрихкоду",ТабПозиции[[#This Row],[item]]="Посылка"),ТабПозиции[[#This Row],[deliverySumm]]+ТабПозиции[[#This Row],[deliveryPost]],SUM(N376:P376))</f>
        <v>850</v>
      </c>
      <c r="R376" s="46">
        <v>850</v>
      </c>
      <c r="S376" s="46">
        <f>ТабПозиции[[#This Row],[totalSumm]]-ТабПозиции[[#This Row],[payment]]</f>
        <v>0</v>
      </c>
      <c r="T376" s="18" t="s">
        <v>615</v>
      </c>
      <c r="U376" s="40" t="s">
        <v>552</v>
      </c>
      <c r="V376" s="40" t="s">
        <v>552</v>
      </c>
      <c r="W376" s="40" t="s">
        <v>545</v>
      </c>
      <c r="X376" s="3"/>
      <c r="Y376"/>
    </row>
    <row r="377" spans="1:25" hidden="1" x14ac:dyDescent="0.25">
      <c r="A377" s="10">
        <v>105</v>
      </c>
      <c r="B377" s="1">
        <f>IFERROR(VLOOKUP(ТабПозиции[[#This Row],[orderNum]],ТабЗаказы[#Data],MATCH(B$7,ТабЗаказы[#Headers],0),0),"")</f>
        <v>45427</v>
      </c>
      <c r="C377" t="str">
        <f>MONTH(ТабПозиции[[#This Row],[date]])&amp;"/"&amp;YEAR(ТабПозиции[[#This Row],[date]])</f>
        <v>5/2024</v>
      </c>
      <c r="D377" s="1" t="str">
        <f>IFERROR(VLOOKUP(ТабПозиции[[#This Row],[orderNum]],ТабЗаказы[#Data],MATCH(D$7,ТабЗаказы[#Headers],0),0),"")</f>
        <v/>
      </c>
      <c r="E377" s="1" t="str">
        <f>IFERROR(VLOOKUP(ТабПозиции[[#This Row],[orderNum]],ТабЗаказы[#Data],MATCH(E$7,ТабЗаказы[#Headers],0),0),"")</f>
        <v/>
      </c>
      <c r="F377" s="16" t="s">
        <v>892</v>
      </c>
      <c r="G377" s="40" t="s">
        <v>545</v>
      </c>
      <c r="I377" s="18">
        <v>45429</v>
      </c>
      <c r="J377" s="10">
        <v>1</v>
      </c>
      <c r="K377" s="10">
        <v>2257</v>
      </c>
      <c r="L377">
        <v>2257</v>
      </c>
      <c r="M377" s="10">
        <v>2443</v>
      </c>
      <c r="N377">
        <f t="shared" si="7"/>
        <v>2443</v>
      </c>
      <c r="P3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Row],[orderNum]],ТабПозиции[orderSumm])&gt;1500),ABS(N377*VLOOKUP(ТабПозиции[[#This Row],[orderNum]],ТабЗаказы[#Data],MATCH("Percent",ТабЗаказы[#Headers],0),0))/100,200/COUNTIF(ТабПозиции[orderNum],ТабПозиции[[#This Row],[orderNum]])),0),"")</f>
        <v>366</v>
      </c>
      <c r="Q377">
        <f>IF(OR(ТабПозиции[[#This Row],[item]]="По штрихкоду",ТабПозиции[[#This Row],[item]]="Посылка"),ТабПозиции[[#This Row],[deliverySumm]]+ТабПозиции[[#This Row],[deliveryPost]],SUM(N377:P377))</f>
        <v>2809</v>
      </c>
      <c r="R377" s="41">
        <v>2809</v>
      </c>
      <c r="S377" s="46">
        <f>ТабПозиции[[#This Row],[totalSumm]]-ТабПозиции[[#This Row],[payment]]</f>
        <v>0</v>
      </c>
      <c r="T377" s="18" t="s">
        <v>580</v>
      </c>
      <c r="U377" s="40" t="s">
        <v>552</v>
      </c>
      <c r="V377" s="40" t="s">
        <v>545</v>
      </c>
      <c r="W377" s="40" t="s">
        <v>545</v>
      </c>
      <c r="X377" s="3"/>
      <c r="Y377"/>
    </row>
    <row r="378" spans="1:25" hidden="1" x14ac:dyDescent="0.25">
      <c r="A378" s="10">
        <v>105</v>
      </c>
      <c r="B378" s="1">
        <f>IFERROR(VLOOKUP(ТабПозиции[[#This Row],[orderNum]],ТабЗаказы[#Data],MATCH(B$7,ТабЗаказы[#Headers],0),0),"")</f>
        <v>45427</v>
      </c>
      <c r="C378" t="str">
        <f>MONTH(ТабПозиции[[#This Row],[date]])&amp;"/"&amp;YEAR(ТабПозиции[[#This Row],[date]])</f>
        <v>5/2024</v>
      </c>
      <c r="D378" s="1" t="str">
        <f>IFERROR(VLOOKUP(ТабПозиции[[#This Row],[orderNum]],ТабЗаказы[#Data],MATCH(D$7,ТабЗаказы[#Headers],0),0),"")</f>
        <v/>
      </c>
      <c r="E378" s="1" t="str">
        <f>IFERROR(VLOOKUP(ТабПозиции[[#This Row],[orderNum]],ТабЗаказы[#Data],MATCH(E$7,ТабЗаказы[#Headers],0),0),"")</f>
        <v/>
      </c>
      <c r="F378" s="16" t="s">
        <v>893</v>
      </c>
      <c r="G378" s="40" t="s">
        <v>545</v>
      </c>
      <c r="I378" s="18">
        <v>45430</v>
      </c>
      <c r="J378" s="10">
        <v>1</v>
      </c>
      <c r="K378" s="10">
        <v>470</v>
      </c>
      <c r="L378">
        <v>470</v>
      </c>
      <c r="M378" s="10">
        <v>480</v>
      </c>
      <c r="N378">
        <f t="shared" si="7"/>
        <v>480</v>
      </c>
      <c r="P3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Row],[orderNum]],ТабПозиции[orderSumm])&gt;1500),ABS(N378*VLOOKUP(ТабПозиции[[#This Row],[orderNum]],ТабЗаказы[#Data],MATCH("Percent",ТабЗаказы[#Headers],0),0))/100,200/COUNTIF(ТабПозиции[orderNum],ТабПозиции[[#This Row],[orderNum]])),0),"")</f>
        <v>72</v>
      </c>
      <c r="Q378">
        <f>IF(OR(ТабПозиции[[#This Row],[item]]="По штрихкоду",ТабПозиции[[#This Row],[item]]="Посылка"),ТабПозиции[[#This Row],[deliverySumm]]+ТабПозиции[[#This Row],[deliveryPost]],SUM(N378:P378))</f>
        <v>552</v>
      </c>
      <c r="R378" s="41">
        <v>552</v>
      </c>
      <c r="S378" s="46">
        <f>ТабПозиции[[#This Row],[totalSumm]]-ТабПозиции[[#This Row],[payment]]</f>
        <v>0</v>
      </c>
      <c r="T378" s="18" t="s">
        <v>580</v>
      </c>
      <c r="U378" s="40" t="s">
        <v>552</v>
      </c>
      <c r="V378" s="40" t="s">
        <v>545</v>
      </c>
      <c r="W378" s="40" t="s">
        <v>545</v>
      </c>
      <c r="X378" s="3"/>
      <c r="Y378"/>
    </row>
    <row r="379" spans="1:25" hidden="1" x14ac:dyDescent="0.25">
      <c r="A379" s="10">
        <v>105</v>
      </c>
      <c r="B379" s="1">
        <f>IFERROR(VLOOKUP(ТабПозиции[[#This Row],[orderNum]],ТабЗаказы[#Data],MATCH(B$7,ТабЗаказы[#Headers],0),0),"")</f>
        <v>45427</v>
      </c>
      <c r="C379" t="str">
        <f>MONTH(ТабПозиции[[#This Row],[date]])&amp;"/"&amp;YEAR(ТабПозиции[[#This Row],[date]])</f>
        <v>5/2024</v>
      </c>
      <c r="D379" s="1" t="str">
        <f>IFERROR(VLOOKUP(ТабПозиции[[#This Row],[orderNum]],ТабЗаказы[#Data],MATCH(D$7,ТабЗаказы[#Headers],0),0),"")</f>
        <v/>
      </c>
      <c r="E379" s="1" t="str">
        <f>IFERROR(VLOOKUP(ТабПозиции[[#This Row],[orderNum]],ТабЗаказы[#Data],MATCH(E$7,ТабЗаказы[#Headers],0),0),"")</f>
        <v/>
      </c>
      <c r="F379" s="16" t="s">
        <v>894</v>
      </c>
      <c r="G379" s="40" t="s">
        <v>545</v>
      </c>
      <c r="I379" s="18">
        <v>45430</v>
      </c>
      <c r="J379" s="10">
        <v>1</v>
      </c>
      <c r="K379" s="10">
        <v>399</v>
      </c>
      <c r="L379">
        <v>399</v>
      </c>
      <c r="M379" s="10">
        <v>431</v>
      </c>
      <c r="N379">
        <f t="shared" si="7"/>
        <v>431</v>
      </c>
      <c r="P3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Row],[orderNum]],ТабПозиции[orderSumm])&gt;1500),ABS(N379*VLOOKUP(ТабПозиции[[#This Row],[orderNum]],ТабЗаказы[#Data],MATCH("Percent",ТабЗаказы[#Headers],0),0))/100,200/COUNTIF(ТабПозиции[orderNum],ТабПозиции[[#This Row],[orderNum]])),0),"")</f>
        <v>65</v>
      </c>
      <c r="Q379">
        <f>IF(OR(ТабПозиции[[#This Row],[item]]="По штрихкоду",ТабПозиции[[#This Row],[item]]="Посылка"),ТабПозиции[[#This Row],[deliverySumm]]+ТабПозиции[[#This Row],[deliveryPost]],SUM(N379:P379))</f>
        <v>496</v>
      </c>
      <c r="R379" s="41">
        <v>496</v>
      </c>
      <c r="S379" s="46">
        <f>ТабПозиции[[#This Row],[totalSumm]]-ТабПозиции[[#This Row],[payment]]</f>
        <v>0</v>
      </c>
      <c r="T379" s="18" t="s">
        <v>580</v>
      </c>
      <c r="U379" s="40" t="s">
        <v>552</v>
      </c>
      <c r="V379" s="40" t="s">
        <v>545</v>
      </c>
      <c r="W379" s="40" t="s">
        <v>545</v>
      </c>
      <c r="X379" s="3"/>
      <c r="Y379"/>
    </row>
    <row r="380" spans="1:25" hidden="1" x14ac:dyDescent="0.25">
      <c r="A380" s="10">
        <v>105</v>
      </c>
      <c r="B380" s="1">
        <f>IFERROR(VLOOKUP(ТабПозиции[[#This Row],[orderNum]],ТабЗаказы[#Data],MATCH(B$7,ТабЗаказы[#Headers],0),0),"")</f>
        <v>45427</v>
      </c>
      <c r="C380" t="str">
        <f>MONTH(ТабПозиции[[#This Row],[date]])&amp;"/"&amp;YEAR(ТабПозиции[[#This Row],[date]])</f>
        <v>5/2024</v>
      </c>
      <c r="D380" s="1" t="str">
        <f>IFERROR(VLOOKUP(ТабПозиции[[#This Row],[orderNum]],ТабЗаказы[#Data],MATCH(D$7,ТабЗаказы[#Headers],0),0),"")</f>
        <v/>
      </c>
      <c r="E380" s="1" t="str">
        <f>IFERROR(VLOOKUP(ТабПозиции[[#This Row],[orderNum]],ТабЗаказы[#Data],MATCH(E$7,ТабЗаказы[#Headers],0),0),"")</f>
        <v/>
      </c>
      <c r="F380" s="16" t="s">
        <v>895</v>
      </c>
      <c r="G380" s="40" t="s">
        <v>545</v>
      </c>
      <c r="I380" s="18">
        <v>45430</v>
      </c>
      <c r="J380" s="10">
        <v>1</v>
      </c>
      <c r="K380" s="10">
        <v>470</v>
      </c>
      <c r="L380">
        <v>470</v>
      </c>
      <c r="M380" s="10">
        <v>480</v>
      </c>
      <c r="N380">
        <f t="shared" si="7"/>
        <v>480</v>
      </c>
      <c r="P3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Row],[orderNum]],ТабПозиции[orderSumm])&gt;1500),ABS(N380*VLOOKUP(ТабПозиции[[#This Row],[orderNum]],ТабЗаказы[#Data],MATCH("Percent",ТабЗаказы[#Headers],0),0))/100,200/COUNTIF(ТабПозиции[orderNum],ТабПозиции[[#This Row],[orderNum]])),0),"")</f>
        <v>72</v>
      </c>
      <c r="Q380">
        <f>IF(OR(ТабПозиции[[#This Row],[item]]="По штрихкоду",ТабПозиции[[#This Row],[item]]="Посылка"),ТабПозиции[[#This Row],[deliverySumm]]+ТабПозиции[[#This Row],[deliveryPost]],SUM(N380:P380))</f>
        <v>552</v>
      </c>
      <c r="R380" s="41">
        <v>552</v>
      </c>
      <c r="S380" s="46">
        <f>ТабПозиции[[#This Row],[totalSumm]]-ТабПозиции[[#This Row],[payment]]</f>
        <v>0</v>
      </c>
      <c r="T380" s="18" t="s">
        <v>580</v>
      </c>
      <c r="U380" s="40" t="s">
        <v>552</v>
      </c>
      <c r="V380" s="40" t="s">
        <v>545</v>
      </c>
      <c r="W380" s="40" t="s">
        <v>545</v>
      </c>
      <c r="X380" s="3"/>
      <c r="Y380"/>
    </row>
    <row r="381" spans="1:25" hidden="1" x14ac:dyDescent="0.25">
      <c r="A381" s="10">
        <v>105</v>
      </c>
      <c r="B381" s="1">
        <f>IFERROR(VLOOKUP(ТабПозиции[[#This Row],[orderNum]],ТабЗаказы[#Data],MATCH(B$7,ТабЗаказы[#Headers],0),0),"")</f>
        <v>45427</v>
      </c>
      <c r="C381" t="str">
        <f>MONTH(ТабПозиции[[#This Row],[date]])&amp;"/"&amp;YEAR(ТабПозиции[[#This Row],[date]])</f>
        <v>5/2024</v>
      </c>
      <c r="D381" s="1" t="str">
        <f>IFERROR(VLOOKUP(ТабПозиции[[#This Row],[orderNum]],ТабЗаказы[#Data],MATCH(D$7,ТабЗаказы[#Headers],0),0),"")</f>
        <v/>
      </c>
      <c r="E381" s="1" t="str">
        <f>IFERROR(VLOOKUP(ТабПозиции[[#This Row],[orderNum]],ТабЗаказы[#Data],MATCH(E$7,ТабЗаказы[#Headers],0),0),"")</f>
        <v/>
      </c>
      <c r="F381" s="16" t="s">
        <v>896</v>
      </c>
      <c r="G381" s="40" t="s">
        <v>545</v>
      </c>
      <c r="I381" s="18">
        <v>45429</v>
      </c>
      <c r="J381" s="10">
        <v>1</v>
      </c>
      <c r="K381" s="10">
        <v>446</v>
      </c>
      <c r="L381">
        <v>446</v>
      </c>
      <c r="M381" s="10">
        <v>455</v>
      </c>
      <c r="N381">
        <f t="shared" si="7"/>
        <v>455</v>
      </c>
      <c r="P3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Row],[orderNum]],ТабПозиции[orderSumm])&gt;1500),ABS(N381*VLOOKUP(ТабПозиции[[#This Row],[orderNum]],ТабЗаказы[#Data],MATCH("Percent",ТабЗаказы[#Headers],0),0))/100,200/COUNTIF(ТабПозиции[orderNum],ТабПозиции[[#This Row],[orderNum]])),0),"")</f>
        <v>68</v>
      </c>
      <c r="Q381">
        <f>IF(OR(ТабПозиции[[#This Row],[item]]="По штрихкоду",ТабПозиции[[#This Row],[item]]="Посылка"),ТабПозиции[[#This Row],[deliverySumm]]+ТабПозиции[[#This Row],[deliveryPost]],SUM(N381:P381))</f>
        <v>523</v>
      </c>
      <c r="R381" s="41">
        <v>523</v>
      </c>
      <c r="S381" s="46">
        <f>ТабПозиции[[#This Row],[totalSumm]]-ТабПозиции[[#This Row],[payment]]</f>
        <v>0</v>
      </c>
      <c r="T381" s="18" t="s">
        <v>580</v>
      </c>
      <c r="U381" s="40" t="s">
        <v>552</v>
      </c>
      <c r="V381" s="40" t="s">
        <v>545</v>
      </c>
      <c r="W381" s="40" t="s">
        <v>545</v>
      </c>
      <c r="X381" s="3"/>
      <c r="Y381"/>
    </row>
    <row r="382" spans="1:25" hidden="1" x14ac:dyDescent="0.25">
      <c r="A382" s="10">
        <v>105</v>
      </c>
      <c r="B382" s="1">
        <f>IFERROR(VLOOKUP(ТабПозиции[[#This Row],[orderNum]],ТабЗаказы[#Data],MATCH(B$7,ТабЗаказы[#Headers],0),0),"")</f>
        <v>45427</v>
      </c>
      <c r="C382" t="str">
        <f>MONTH(ТабПозиции[[#This Row],[date]])&amp;"/"&amp;YEAR(ТабПозиции[[#This Row],[date]])</f>
        <v>5/2024</v>
      </c>
      <c r="D382" s="1" t="str">
        <f>IFERROR(VLOOKUP(ТабПозиции[[#This Row],[orderNum]],ТабЗаказы[#Data],MATCH(D$7,ТабЗаказы[#Headers],0),0),"")</f>
        <v/>
      </c>
      <c r="E382" s="1" t="str">
        <f>IFERROR(VLOOKUP(ТабПозиции[[#This Row],[orderNum]],ТабЗаказы[#Data],MATCH(E$7,ТабЗаказы[#Headers],0),0),"")</f>
        <v/>
      </c>
      <c r="F382" s="16" t="s">
        <v>897</v>
      </c>
      <c r="G382" s="40" t="s">
        <v>545</v>
      </c>
      <c r="I382" s="18">
        <v>45430</v>
      </c>
      <c r="J382" s="10">
        <v>1</v>
      </c>
      <c r="K382" s="10">
        <v>436</v>
      </c>
      <c r="L382">
        <v>436</v>
      </c>
      <c r="M382" s="10">
        <v>471</v>
      </c>
      <c r="N382">
        <f t="shared" si="7"/>
        <v>471</v>
      </c>
      <c r="P3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Row],[orderNum]],ТабПозиции[orderSumm])&gt;1500),ABS(N382*VLOOKUP(ТабПозиции[[#This Row],[orderNum]],ТабЗаказы[#Data],MATCH("Percent",ТабЗаказы[#Headers],0),0))/100,200/COUNTIF(ТабПозиции[orderNum],ТабПозиции[[#This Row],[orderNum]])),0),"")</f>
        <v>71</v>
      </c>
      <c r="Q382">
        <f>IF(OR(ТабПозиции[[#This Row],[item]]="По штрихкоду",ТабПозиции[[#This Row],[item]]="Посылка"),ТабПозиции[[#This Row],[deliverySumm]]+ТабПозиции[[#This Row],[deliveryPost]],SUM(N382:P382))</f>
        <v>542</v>
      </c>
      <c r="R382" s="41">
        <v>542</v>
      </c>
      <c r="S382" s="46">
        <f>ТабПозиции[[#This Row],[totalSumm]]-ТабПозиции[[#This Row],[payment]]</f>
        <v>0</v>
      </c>
      <c r="T382" s="18" t="s">
        <v>580</v>
      </c>
      <c r="U382" s="40" t="s">
        <v>552</v>
      </c>
      <c r="V382" s="40" t="s">
        <v>545</v>
      </c>
      <c r="W382" s="40" t="s">
        <v>545</v>
      </c>
      <c r="X382" s="3"/>
      <c r="Y382"/>
    </row>
    <row r="383" spans="1:25" hidden="1" x14ac:dyDescent="0.25">
      <c r="A383" s="10">
        <v>105</v>
      </c>
      <c r="B383" s="1">
        <f>IFERROR(VLOOKUP(ТабПозиции[[#This Row],[orderNum]],ТабЗаказы[#Data],MATCH(B$7,ТабЗаказы[#Headers],0),0),"")</f>
        <v>45427</v>
      </c>
      <c r="C383" t="str">
        <f>MONTH(ТабПозиции[[#This Row],[date]])&amp;"/"&amp;YEAR(ТабПозиции[[#This Row],[date]])</f>
        <v>5/2024</v>
      </c>
      <c r="D383" s="1" t="str">
        <f>IFERROR(VLOOKUP(ТабПозиции[[#This Row],[orderNum]],ТабЗаказы[#Data],MATCH(D$7,ТабЗаказы[#Headers],0),0),"")</f>
        <v/>
      </c>
      <c r="E383" s="1" t="str">
        <f>IFERROR(VLOOKUP(ТабПозиции[[#This Row],[orderNum]],ТабЗаказы[#Data],MATCH(E$7,ТабЗаказы[#Headers],0),0),"")</f>
        <v/>
      </c>
      <c r="F383" s="16" t="s">
        <v>898</v>
      </c>
      <c r="G383" s="40" t="s">
        <v>545</v>
      </c>
      <c r="I383" s="18">
        <v>45429</v>
      </c>
      <c r="J383" s="10">
        <v>1</v>
      </c>
      <c r="K383" s="10">
        <v>423</v>
      </c>
      <c r="L383">
        <v>423</v>
      </c>
      <c r="M383" s="10">
        <v>437</v>
      </c>
      <c r="N383">
        <f t="shared" si="7"/>
        <v>437</v>
      </c>
      <c r="P3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Row],[orderNum]],ТабПозиции[orderSumm])&gt;1500),ABS(N383*VLOOKUP(ТабПозиции[[#This Row],[orderNum]],ТабЗаказы[#Data],MATCH("Percent",ТабЗаказы[#Headers],0),0))/100,200/COUNTIF(ТабПозиции[orderNum],ТабПозиции[[#This Row],[orderNum]])),0),"")</f>
        <v>66</v>
      </c>
      <c r="Q383">
        <f>IF(OR(ТабПозиции[[#This Row],[item]]="По штрихкоду",ТабПозиции[[#This Row],[item]]="Посылка"),ТабПозиции[[#This Row],[deliverySumm]]+ТабПозиции[[#This Row],[deliveryPost]],SUM(N383:P383))</f>
        <v>503</v>
      </c>
      <c r="R383" s="41">
        <v>503</v>
      </c>
      <c r="S383" s="46">
        <f>ТабПозиции[[#This Row],[totalSumm]]-ТабПозиции[[#This Row],[payment]]</f>
        <v>0</v>
      </c>
      <c r="T383" s="18" t="s">
        <v>580</v>
      </c>
      <c r="U383" s="40" t="s">
        <v>552</v>
      </c>
      <c r="V383" s="40" t="s">
        <v>545</v>
      </c>
      <c r="W383" s="40" t="s">
        <v>545</v>
      </c>
      <c r="X383" s="3"/>
      <c r="Y383"/>
    </row>
    <row r="384" spans="1:25" hidden="1" x14ac:dyDescent="0.25">
      <c r="A384" s="10">
        <v>105</v>
      </c>
      <c r="B384" s="1">
        <f>IFERROR(VLOOKUP(ТабПозиции[[#This Row],[orderNum]],ТабЗаказы[#Data],MATCH(B$7,ТабЗаказы[#Headers],0),0),"")</f>
        <v>45427</v>
      </c>
      <c r="C384" t="str">
        <f>MONTH(ТабПозиции[[#This Row],[date]])&amp;"/"&amp;YEAR(ТабПозиции[[#This Row],[date]])</f>
        <v>5/2024</v>
      </c>
      <c r="D384" s="1" t="str">
        <f>IFERROR(VLOOKUP(ТабПозиции[[#This Row],[orderNum]],ТабЗаказы[#Data],MATCH(D$7,ТабЗаказы[#Headers],0),0),"")</f>
        <v/>
      </c>
      <c r="E384" s="1" t="str">
        <f>IFERROR(VLOOKUP(ТабПозиции[[#This Row],[orderNum]],ТабЗаказы[#Data],MATCH(E$7,ТабЗаказы[#Headers],0),0),"")</f>
        <v/>
      </c>
      <c r="F384" s="16" t="s">
        <v>899</v>
      </c>
      <c r="G384" s="40" t="s">
        <v>545</v>
      </c>
      <c r="I384" s="18">
        <v>45430</v>
      </c>
      <c r="J384" s="10">
        <v>1</v>
      </c>
      <c r="K384" s="10">
        <v>451</v>
      </c>
      <c r="L384">
        <v>451</v>
      </c>
      <c r="M384" s="10">
        <v>460</v>
      </c>
      <c r="N384">
        <f t="shared" si="7"/>
        <v>460</v>
      </c>
      <c r="P3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Row],[orderNum]],ТабПозиции[orderSumm])&gt;1500),ABS(N384*VLOOKUP(ТабПозиции[[#This Row],[orderNum]],ТабЗаказы[#Data],MATCH("Percent",ТабЗаказы[#Headers],0),0))/100,200/COUNTIF(ТабПозиции[orderNum],ТабПозиции[[#This Row],[orderNum]])),0),"")</f>
        <v>69</v>
      </c>
      <c r="Q384">
        <f>IF(OR(ТабПозиции[[#This Row],[item]]="По штрихкоду",ТабПозиции[[#This Row],[item]]="Посылка"),ТабПозиции[[#This Row],[deliverySumm]]+ТабПозиции[[#This Row],[deliveryPost]],SUM(N384:P384))</f>
        <v>529</v>
      </c>
      <c r="R384" s="41">
        <v>529</v>
      </c>
      <c r="S384" s="46">
        <f>ТабПозиции[[#This Row],[totalSumm]]-ТабПозиции[[#This Row],[payment]]</f>
        <v>0</v>
      </c>
      <c r="T384" s="18" t="s">
        <v>580</v>
      </c>
      <c r="U384" s="40" t="s">
        <v>552</v>
      </c>
      <c r="V384" s="40" t="s">
        <v>545</v>
      </c>
      <c r="W384" s="40" t="s">
        <v>545</v>
      </c>
      <c r="X384" s="3"/>
      <c r="Y384"/>
    </row>
    <row r="385" spans="1:25" hidden="1" x14ac:dyDescent="0.25">
      <c r="A385" s="10">
        <v>105</v>
      </c>
      <c r="B385" s="1">
        <f>IFERROR(VLOOKUP(ТабПозиции[[#This Row],[orderNum]],ТабЗаказы[#Data],MATCH(B$7,ТабЗаказы[#Headers],0),0),"")</f>
        <v>45427</v>
      </c>
      <c r="C385" t="str">
        <f>MONTH(ТабПозиции[[#This Row],[date]])&amp;"/"&amp;YEAR(ТабПозиции[[#This Row],[date]])</f>
        <v>5/2024</v>
      </c>
      <c r="D385" s="1" t="str">
        <f>IFERROR(VLOOKUP(ТабПозиции[[#This Row],[orderNum]],ТабЗаказы[#Data],MATCH(D$7,ТабЗаказы[#Headers],0),0),"")</f>
        <v/>
      </c>
      <c r="E385" s="1" t="str">
        <f>IFERROR(VLOOKUP(ТабПозиции[[#This Row],[orderNum]],ТабЗаказы[#Data],MATCH(E$7,ТабЗаказы[#Headers],0),0),"")</f>
        <v/>
      </c>
      <c r="F385" s="16" t="s">
        <v>900</v>
      </c>
      <c r="G385" s="40" t="s">
        <v>545</v>
      </c>
      <c r="I385" s="18">
        <v>45430</v>
      </c>
      <c r="J385" s="10">
        <v>1</v>
      </c>
      <c r="K385" s="10">
        <v>394</v>
      </c>
      <c r="L385">
        <v>394</v>
      </c>
      <c r="M385" s="10">
        <v>407</v>
      </c>
      <c r="N385">
        <f t="shared" si="7"/>
        <v>407</v>
      </c>
      <c r="P3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Row],[orderNum]],ТабПозиции[orderSumm])&gt;1500),ABS(N385*VLOOKUP(ТабПозиции[[#This Row],[orderNum]],ТабЗаказы[#Data],MATCH("Percent",ТабЗаказы[#Headers],0),0))/100,200/COUNTIF(ТабПозиции[orderNum],ТабПозиции[[#This Row],[orderNum]])),0),"")</f>
        <v>61</v>
      </c>
      <c r="Q385">
        <f>IF(OR(ТабПозиции[[#This Row],[item]]="По штрихкоду",ТабПозиции[[#This Row],[item]]="Посылка"),ТабПозиции[[#This Row],[deliverySumm]]+ТабПозиции[[#This Row],[deliveryPost]],SUM(N385:P385))</f>
        <v>468</v>
      </c>
      <c r="R385" s="41">
        <v>468</v>
      </c>
      <c r="S385" s="46">
        <f>ТабПозиции[[#This Row],[totalSumm]]-ТабПозиции[[#This Row],[payment]]</f>
        <v>0</v>
      </c>
      <c r="T385" s="18" t="s">
        <v>580</v>
      </c>
      <c r="U385" s="40" t="s">
        <v>552</v>
      </c>
      <c r="V385" s="40" t="s">
        <v>545</v>
      </c>
      <c r="W385" s="40" t="s">
        <v>545</v>
      </c>
      <c r="X385" s="3"/>
      <c r="Y385"/>
    </row>
    <row r="386" spans="1:25" hidden="1" x14ac:dyDescent="0.25">
      <c r="A386" s="10">
        <v>105</v>
      </c>
      <c r="B386" s="1">
        <f>IFERROR(VLOOKUP(ТабПозиции[[#This Row],[orderNum]],ТабЗаказы[#Data],MATCH(B$7,ТабЗаказы[#Headers],0),0),"")</f>
        <v>45427</v>
      </c>
      <c r="C386" t="str">
        <f>MONTH(ТабПозиции[[#This Row],[date]])&amp;"/"&amp;YEAR(ТабПозиции[[#This Row],[date]])</f>
        <v>5/2024</v>
      </c>
      <c r="D386" s="1" t="str">
        <f>IFERROR(VLOOKUP(ТабПозиции[[#This Row],[orderNum]],ТабЗаказы[#Data],MATCH(D$7,ТабЗаказы[#Headers],0),0),"")</f>
        <v/>
      </c>
      <c r="E386" s="1" t="str">
        <f>IFERROR(VLOOKUP(ТабПозиции[[#This Row],[orderNum]],ТабЗаказы[#Data],MATCH(E$7,ТабЗаказы[#Headers],0),0),"")</f>
        <v/>
      </c>
      <c r="F386" s="16" t="s">
        <v>901</v>
      </c>
      <c r="G386" s="40" t="s">
        <v>545</v>
      </c>
      <c r="I386" s="18">
        <v>45429</v>
      </c>
      <c r="J386" s="10">
        <v>1</v>
      </c>
      <c r="K386" s="10">
        <v>298</v>
      </c>
      <c r="L386">
        <v>298</v>
      </c>
      <c r="M386" s="10">
        <v>304</v>
      </c>
      <c r="N386">
        <f t="shared" si="7"/>
        <v>304</v>
      </c>
      <c r="P3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Row],[orderNum]],ТабПозиции[orderSumm])&gt;1500),ABS(N386*VLOOKUP(ТабПозиции[[#This Row],[orderNum]],ТабЗаказы[#Data],MATCH("Percent",ТабЗаказы[#Headers],0),0))/100,200/COUNTIF(ТабПозиции[orderNum],ТабПозиции[[#This Row],[orderNum]])),0),"")</f>
        <v>46</v>
      </c>
      <c r="Q386">
        <f>IF(OR(ТабПозиции[[#This Row],[item]]="По штрихкоду",ТабПозиции[[#This Row],[item]]="Посылка"),ТабПозиции[[#This Row],[deliverySumm]]+ТабПозиции[[#This Row],[deliveryPost]],SUM(N386:P386))</f>
        <v>350</v>
      </c>
      <c r="R386" s="41">
        <v>350</v>
      </c>
      <c r="S386" s="46">
        <f>ТабПозиции[[#This Row],[totalSumm]]-ТабПозиции[[#This Row],[payment]]</f>
        <v>0</v>
      </c>
      <c r="T386" s="18" t="s">
        <v>580</v>
      </c>
      <c r="U386" s="40" t="s">
        <v>552</v>
      </c>
      <c r="V386" s="40" t="s">
        <v>545</v>
      </c>
      <c r="W386" s="40" t="s">
        <v>545</v>
      </c>
      <c r="X386" s="3"/>
      <c r="Y386"/>
    </row>
    <row r="387" spans="1:25" hidden="1" x14ac:dyDescent="0.25">
      <c r="A387" s="10">
        <v>106</v>
      </c>
      <c r="B387" s="1">
        <f>IFERROR(VLOOKUP(ТабПозиции[[#This Row],[orderNum]],ТабЗаказы[#Data],MATCH(B$7,ТабЗаказы[#Headers],0),0),"")</f>
        <v>45429</v>
      </c>
      <c r="C387" t="str">
        <f>MONTH(ТабПозиции[[#This Row],[date]])&amp;"/"&amp;YEAR(ТабПозиции[[#This Row],[date]])</f>
        <v>5/2024</v>
      </c>
      <c r="D387" s="1" t="str">
        <f>IFERROR(VLOOKUP(ТабПозиции[[#This Row],[orderNum]],ТабЗаказы[#Data],MATCH(D$7,ТабЗаказы[#Headers],0),0),"")</f>
        <v/>
      </c>
      <c r="E387" s="1" t="str">
        <f>IFERROR(VLOOKUP(ТабПозиции[[#This Row],[orderNum]],ТабЗаказы[#Data],MATCH(E$7,ТабЗаказы[#Headers],0),0),"")</f>
        <v/>
      </c>
      <c r="F387" s="16" t="s">
        <v>902</v>
      </c>
      <c r="G387" s="40" t="s">
        <v>545</v>
      </c>
      <c r="I387" s="18">
        <v>45432</v>
      </c>
      <c r="J387" s="10">
        <v>1</v>
      </c>
      <c r="K387" s="10">
        <v>720</v>
      </c>
      <c r="L387">
        <v>720</v>
      </c>
      <c r="M387" s="10">
        <v>720</v>
      </c>
      <c r="N387">
        <f t="shared" si="7"/>
        <v>720</v>
      </c>
      <c r="P3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Row],[orderNum]],ТабПозиции[orderSumm])&gt;1500),ABS(N387*VLOOKUP(ТабПозиции[[#This Row],[orderNum]],ТабЗаказы[#Data],MATCH("Percent",ТабЗаказы[#Headers],0),0))/100,200/COUNTIF(ТабПозиции[orderNum],ТабПозиции[[#This Row],[orderNum]])),0),"")</f>
        <v>108</v>
      </c>
      <c r="Q387">
        <f>IF(OR(ТабПозиции[[#This Row],[item]]="По штрихкоду",ТабПозиции[[#This Row],[item]]="Посылка"),ТабПозиции[[#This Row],[deliverySumm]]+ТабПозиции[[#This Row],[deliveryPost]],SUM(N387:P387))</f>
        <v>828</v>
      </c>
      <c r="R387" s="41">
        <v>828</v>
      </c>
      <c r="S387" s="46">
        <f>ТабПозиции[[#This Row],[totalSumm]]-ТабПозиции[[#This Row],[payment]]</f>
        <v>0</v>
      </c>
      <c r="T387" s="18" t="s">
        <v>903</v>
      </c>
      <c r="U387" s="40" t="s">
        <v>545</v>
      </c>
      <c r="V387" s="40" t="s">
        <v>545</v>
      </c>
      <c r="W387" s="40" t="s">
        <v>545</v>
      </c>
      <c r="X387" s="3"/>
      <c r="Y387"/>
    </row>
    <row r="388" spans="1:25" hidden="1" x14ac:dyDescent="0.25">
      <c r="A388" s="10">
        <v>106</v>
      </c>
      <c r="B388" s="1">
        <f>IFERROR(VLOOKUP(ТабПозиции[[#This Row],[orderNum]],ТабЗаказы[#Data],MATCH(B$7,ТабЗаказы[#Headers],0),0),"")</f>
        <v>45429</v>
      </c>
      <c r="C388" t="str">
        <f>MONTH(ТабПозиции[[#This Row],[date]])&amp;"/"&amp;YEAR(ТабПозиции[[#This Row],[date]])</f>
        <v>5/2024</v>
      </c>
      <c r="D388" s="1" t="str">
        <f>IFERROR(VLOOKUP(ТабПозиции[[#This Row],[orderNum]],ТабЗаказы[#Data],MATCH(D$7,ТабЗаказы[#Headers],0),0),"")</f>
        <v/>
      </c>
      <c r="E388" s="1" t="str">
        <f>IFERROR(VLOOKUP(ТабПозиции[[#This Row],[orderNum]],ТабЗаказы[#Data],MATCH(E$7,ТабЗаказы[#Headers],0),0),"")</f>
        <v/>
      </c>
      <c r="F388" s="16" t="s">
        <v>904</v>
      </c>
      <c r="G388" s="40" t="s">
        <v>545</v>
      </c>
      <c r="I388" s="18">
        <v>45432</v>
      </c>
      <c r="J388" s="10">
        <v>1</v>
      </c>
      <c r="K388" s="10">
        <v>576</v>
      </c>
      <c r="L388">
        <v>576</v>
      </c>
      <c r="M388" s="10">
        <v>576</v>
      </c>
      <c r="N388">
        <f t="shared" si="7"/>
        <v>576</v>
      </c>
      <c r="P3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Row],[orderNum]],ТабПозиции[orderSumm])&gt;1500),ABS(N388*VLOOKUP(ТабПозиции[[#This Row],[orderNum]],ТабЗаказы[#Data],MATCH("Percent",ТабЗаказы[#Headers],0),0))/100,200/COUNTIF(ТабПозиции[orderNum],ТабПозиции[[#This Row],[orderNum]])),0),"")</f>
        <v>86</v>
      </c>
      <c r="Q388">
        <f>IF(OR(ТабПозиции[[#This Row],[item]]="По штрихкоду",ТабПозиции[[#This Row],[item]]="Посылка"),ТабПозиции[[#This Row],[deliverySumm]]+ТабПозиции[[#This Row],[deliveryPost]],SUM(N388:P388))</f>
        <v>662</v>
      </c>
      <c r="R388" s="41">
        <v>662</v>
      </c>
      <c r="S388" s="46">
        <f>ТабПозиции[[#This Row],[totalSumm]]-ТабПозиции[[#This Row],[payment]]</f>
        <v>0</v>
      </c>
      <c r="T388" s="18" t="s">
        <v>903</v>
      </c>
      <c r="U388" s="40" t="s">
        <v>545</v>
      </c>
      <c r="V388" s="40" t="s">
        <v>545</v>
      </c>
      <c r="W388" s="40" t="s">
        <v>545</v>
      </c>
      <c r="X388" s="3"/>
      <c r="Y388"/>
    </row>
    <row r="389" spans="1:25" hidden="1" x14ac:dyDescent="0.25">
      <c r="A389" s="10">
        <v>106</v>
      </c>
      <c r="B389" s="1">
        <f>IFERROR(VLOOKUP(ТабПозиции[[#This Row],[orderNum]],ТабЗаказы[#Data],MATCH(B$7,ТабЗаказы[#Headers],0),0),"")</f>
        <v>45429</v>
      </c>
      <c r="C389" t="str">
        <f>MONTH(ТабПозиции[[#This Row],[date]])&amp;"/"&amp;YEAR(ТабПозиции[[#This Row],[date]])</f>
        <v>5/2024</v>
      </c>
      <c r="D389" s="1" t="str">
        <f>IFERROR(VLOOKUP(ТабПозиции[[#This Row],[orderNum]],ТабЗаказы[#Data],MATCH(D$7,ТабЗаказы[#Headers],0),0),"")</f>
        <v/>
      </c>
      <c r="E389" s="1" t="str">
        <f>IFERROR(VLOOKUP(ТабПозиции[[#This Row],[orderNum]],ТабЗаказы[#Data],MATCH(E$7,ТабЗаказы[#Headers],0),0),"")</f>
        <v/>
      </c>
      <c r="F389" s="16" t="s">
        <v>905</v>
      </c>
      <c r="G389" s="40" t="s">
        <v>545</v>
      </c>
      <c r="I389" s="18">
        <v>45445</v>
      </c>
      <c r="J389" s="10">
        <v>1</v>
      </c>
      <c r="K389" s="10">
        <v>504</v>
      </c>
      <c r="L389">
        <v>504</v>
      </c>
      <c r="M389" s="10">
        <v>504</v>
      </c>
      <c r="N389">
        <f t="shared" si="7"/>
        <v>504</v>
      </c>
      <c r="P3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Row],[orderNum]],ТабПозиции[orderSumm])&gt;1500),ABS(N389*VLOOKUP(ТабПозиции[[#This Row],[orderNum]],ТабЗаказы[#Data],MATCH("Percent",ТабЗаказы[#Headers],0),0))/100,200/COUNTIF(ТабПозиции[orderNum],ТабПозиции[[#This Row],[orderNum]])),0),"")</f>
        <v>76</v>
      </c>
      <c r="Q389">
        <f>IF(OR(ТабПозиции[[#This Row],[item]]="По штрихкоду",ТабПозиции[[#This Row],[item]]="Посылка"),ТабПозиции[[#This Row],[deliverySumm]]+ТабПозиции[[#This Row],[deliveryPost]],SUM(N389:P389))</f>
        <v>580</v>
      </c>
      <c r="R389" s="41">
        <v>580</v>
      </c>
      <c r="S389" s="46">
        <f>ТабПозиции[[#This Row],[totalSumm]]-ТабПозиции[[#This Row],[payment]]</f>
        <v>0</v>
      </c>
      <c r="T389" s="18" t="s">
        <v>903</v>
      </c>
      <c r="U389" s="40" t="s">
        <v>545</v>
      </c>
      <c r="V389" s="40" t="s">
        <v>545</v>
      </c>
      <c r="W389" s="40" t="s">
        <v>545</v>
      </c>
      <c r="X389" s="3"/>
      <c r="Y389"/>
    </row>
    <row r="390" spans="1:25" hidden="1" x14ac:dyDescent="0.25">
      <c r="A390" s="10">
        <v>107</v>
      </c>
      <c r="B390" s="1">
        <f>IFERROR(VLOOKUP(ТабПозиции[[#This Row],[orderNum]],ТабЗаказы[#Data],MATCH(B$7,ТабЗаказы[#Headers],0),0),"")</f>
        <v>45429</v>
      </c>
      <c r="C390" t="str">
        <f>MONTH(ТабПозиции[[#This Row],[date]])&amp;"/"&amp;YEAR(ТабПозиции[[#This Row],[date]])</f>
        <v>5/2024</v>
      </c>
      <c r="D390" s="1" t="str">
        <f>IFERROR(VLOOKUP(ТабПозиции[[#This Row],[orderNum]],ТабЗаказы[#Data],MATCH(D$7,ТабЗаказы[#Headers],0),0),"")</f>
        <v/>
      </c>
      <c r="E390" s="1" t="str">
        <f>IFERROR(VLOOKUP(ТабПозиции[[#This Row],[orderNum]],ТабЗаказы[#Data],MATCH(E$7,ТабЗаказы[#Headers],0),0),"")</f>
        <v/>
      </c>
      <c r="F390" s="10" t="s">
        <v>32</v>
      </c>
      <c r="G390" s="40" t="s">
        <v>545</v>
      </c>
      <c r="I390" s="18">
        <v>45429</v>
      </c>
      <c r="J390" s="10">
        <v>1</v>
      </c>
      <c r="K390" s="10">
        <v>750</v>
      </c>
      <c r="L390">
        <v>750</v>
      </c>
      <c r="M390" s="10">
        <v>750</v>
      </c>
      <c r="N390">
        <f t="shared" si="7"/>
        <v>750</v>
      </c>
      <c r="P3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Row],[orderNum]],ТабПозиции[orderSumm])&gt;1500),ABS(N390*VLOOKUP(ТабПозиции[[#This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390">
        <f>IF(OR(ТабПозиции[[#This Row],[item]]="По штрихкоду",ТабПозиции[[#This Row],[item]]="Посылка"),ТабПозиции[[#This Row],[deliverySumm]]+ТабПозиции[[#This Row],[deliveryPost]],SUM(N390:P390))</f>
        <v>200</v>
      </c>
      <c r="R390" s="41">
        <v>200</v>
      </c>
      <c r="S390" s="46">
        <f>ТабПозиции[[#This Row],[totalSumm]]-ТабПозиции[[#This Row],[payment]]</f>
        <v>0</v>
      </c>
      <c r="T390" s="18" t="s">
        <v>580</v>
      </c>
      <c r="U390" s="40" t="s">
        <v>545</v>
      </c>
      <c r="V390" s="40" t="s">
        <v>545</v>
      </c>
      <c r="W390" s="40" t="s">
        <v>545</v>
      </c>
      <c r="X390" s="3"/>
      <c r="Y390"/>
    </row>
    <row r="391" spans="1:25" hidden="1" x14ac:dyDescent="0.25">
      <c r="A391" s="10">
        <v>108</v>
      </c>
      <c r="B391" s="1">
        <f>IFERROR(VLOOKUP(ТабПозиции[[#This Row],[orderNum]],ТабЗаказы[#Data],MATCH(B$7,ТабЗаказы[#Headers],0),0),"")</f>
        <v>45429</v>
      </c>
      <c r="C391" t="str">
        <f>MONTH(ТабПозиции[[#This Row],[date]])&amp;"/"&amp;YEAR(ТабПозиции[[#This Row],[date]])</f>
        <v>5/2024</v>
      </c>
      <c r="D391" s="1" t="str">
        <f>IFERROR(VLOOKUP(ТабПозиции[[#This Row],[orderNum]],ТабЗаказы[#Data],MATCH(D$7,ТабЗаказы[#Headers],0),0),"")</f>
        <v/>
      </c>
      <c r="E391" s="1" t="str">
        <f>IFERROR(VLOOKUP(ТабПозиции[[#This Row],[orderNum]],ТабЗаказы[#Data],MATCH(E$7,ТабЗаказы[#Headers],0),0),"")</f>
        <v/>
      </c>
      <c r="F391" s="16" t="s">
        <v>906</v>
      </c>
      <c r="G391" s="40" t="s">
        <v>545</v>
      </c>
      <c r="H391" s="12" t="s">
        <v>907</v>
      </c>
      <c r="I391" s="18"/>
      <c r="J391" s="10">
        <v>1</v>
      </c>
      <c r="K391" s="10">
        <v>500</v>
      </c>
      <c r="L391">
        <v>500</v>
      </c>
      <c r="M391" s="10">
        <v>500</v>
      </c>
      <c r="N391">
        <f t="shared" si="7"/>
        <v>500</v>
      </c>
      <c r="O391" s="10">
        <v>159</v>
      </c>
      <c r="P3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Row],[orderNum]],ТабПозиции[orderSumm])&gt;1500),ABS(N391*VLOOKUP(ТабПозиции[[#This Row],[orderNum]],ТабЗаказы[#Data],MATCH("Percent",ТабЗаказы[#Headers],0),0))/100,200/COUNTIF(ТабПозиции[orderNum],ТабПозиции[[#This Row],[orderNum]])),0),"")</f>
        <v>75</v>
      </c>
      <c r="Q391">
        <f>IF(OR(ТабПозиции[[#This Row],[item]]="По штрихкоду",ТабПозиции[[#This Row],[item]]="Посылка"),ТабПозиции[[#This Row],[deliverySumm]]+ТабПозиции[[#This Row],[deliveryPost]],SUM(N391:P391))</f>
        <v>734</v>
      </c>
      <c r="R391" s="41">
        <v>734</v>
      </c>
      <c r="S391" s="46">
        <f>ТабПозиции[[#This Row],[totalSumm]]-ТабПозиции[[#This Row],[payment]]</f>
        <v>0</v>
      </c>
      <c r="T391" s="18" t="s">
        <v>676</v>
      </c>
      <c r="U391" s="40" t="s">
        <v>545</v>
      </c>
      <c r="V391" s="40" t="s">
        <v>545</v>
      </c>
      <c r="W391" s="40" t="s">
        <v>545</v>
      </c>
      <c r="X391" s="3"/>
      <c r="Y391"/>
    </row>
    <row r="392" spans="1:25" hidden="1" x14ac:dyDescent="0.25">
      <c r="A392" s="10">
        <v>108</v>
      </c>
      <c r="B392" s="1">
        <f>IFERROR(VLOOKUP(ТабПозиции[[#This Row],[orderNum]],ТабЗаказы[#Data],MATCH(B$7,ТабЗаказы[#Headers],0),0),"")</f>
        <v>45429</v>
      </c>
      <c r="C392" t="str">
        <f>MONTH(ТабПозиции[[#This Row],[date]])&amp;"/"&amp;YEAR(ТабПозиции[[#This Row],[date]])</f>
        <v>5/2024</v>
      </c>
      <c r="D392" s="1" t="str">
        <f>IFERROR(VLOOKUP(ТабПозиции[[#This Row],[orderNum]],ТабЗаказы[#Data],MATCH(D$7,ТабЗаказы[#Headers],0),0),"")</f>
        <v/>
      </c>
      <c r="E392" s="1" t="str">
        <f>IFERROR(VLOOKUP(ТабПозиции[[#This Row],[orderNum]],ТабЗаказы[#Data],MATCH(E$7,ТабЗаказы[#Headers],0),0),"")</f>
        <v/>
      </c>
      <c r="F392" s="16" t="s">
        <v>908</v>
      </c>
      <c r="G392" s="40" t="s">
        <v>545</v>
      </c>
      <c r="H392" s="12" t="s">
        <v>909</v>
      </c>
      <c r="I392" s="18"/>
      <c r="J392" s="10">
        <v>1</v>
      </c>
      <c r="K392" s="10">
        <v>2500</v>
      </c>
      <c r="L392">
        <v>2500</v>
      </c>
      <c r="M392" s="10">
        <v>2500</v>
      </c>
      <c r="N392">
        <f t="shared" si="7"/>
        <v>2500</v>
      </c>
      <c r="O392" s="10">
        <v>1319</v>
      </c>
      <c r="P3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Row],[orderNum]],ТабПозиции[orderSumm])&gt;1500),ABS(N392*VLOOKUP(ТабПозиции[[#This Row],[orderNum]],ТабЗаказы[#Data],MATCH("Percent",ТабЗаказы[#Headers],0),0))/100,200/COUNTIF(ТабПозиции[orderNum],ТабПозиции[[#This Row],[orderNum]])),0),"")</f>
        <v>375</v>
      </c>
      <c r="Q392">
        <f>IF(OR(ТабПозиции[[#This Row],[item]]="По штрихкоду",ТабПозиции[[#This Row],[item]]="Посылка"),ТабПозиции[[#This Row],[deliverySumm]]+ТабПозиции[[#This Row],[deliveryPost]],SUM(N392:P392))</f>
        <v>4194</v>
      </c>
      <c r="R392" s="41">
        <v>4194</v>
      </c>
      <c r="S392" s="46">
        <f>ТабПозиции[[#This Row],[totalSumm]]-ТабПозиции[[#This Row],[payment]]</f>
        <v>0</v>
      </c>
      <c r="T392" s="18" t="s">
        <v>584</v>
      </c>
      <c r="U392" s="40" t="s">
        <v>545</v>
      </c>
      <c r="V392" s="40" t="s">
        <v>545</v>
      </c>
      <c r="W392" s="40" t="s">
        <v>545</v>
      </c>
      <c r="X392" s="3"/>
      <c r="Y392"/>
    </row>
    <row r="393" spans="1:25" hidden="1" x14ac:dyDescent="0.25">
      <c r="A393" s="10">
        <v>109</v>
      </c>
      <c r="B393" s="1">
        <f>IFERROR(VLOOKUP(ТабПозиции[[#This Row],[orderNum]],ТабЗаказы[#Data],MATCH(B$7,ТабЗаказы[#Headers],0),0),"")</f>
        <v>45430</v>
      </c>
      <c r="C393" t="str">
        <f>MONTH(ТабПозиции[[#This Row],[date]])&amp;"/"&amp;YEAR(ТабПозиции[[#This Row],[date]])</f>
        <v>5/2024</v>
      </c>
      <c r="D393" s="1" t="str">
        <f>IFERROR(VLOOKUP(ТабПозиции[[#This Row],[orderNum]],ТабЗаказы[#Data],MATCH(D$7,ТабЗаказы[#Headers],0),0),"")</f>
        <v/>
      </c>
      <c r="E393" s="1" t="str">
        <f>IFERROR(VLOOKUP(ТабПозиции[[#This Row],[orderNum]],ТабЗаказы[#Data],MATCH(E$7,ТабЗаказы[#Headers],0),0),"")</f>
        <v/>
      </c>
      <c r="F393" s="16" t="s">
        <v>910</v>
      </c>
      <c r="G393" s="40" t="s">
        <v>545</v>
      </c>
      <c r="I393" s="18">
        <v>45438</v>
      </c>
      <c r="J393" s="10">
        <v>1</v>
      </c>
      <c r="K393" s="10">
        <v>1105</v>
      </c>
      <c r="L393">
        <v>1105</v>
      </c>
      <c r="M393" s="10">
        <v>1197</v>
      </c>
      <c r="N393">
        <f t="shared" si="7"/>
        <v>1197</v>
      </c>
      <c r="P3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Row],[orderNum]],ТабПозиции[orderSumm])&gt;1500),ABS(N393*VLOOKUP(ТабПозиции[[#This Row],[orderNum]],ТабЗаказы[#Data],MATCH("Percent",ТабЗаказы[#Headers],0),0))/100,200/COUNTIF(ТабПозиции[orderNum],ТабПозиции[[#This Row],[orderNum]])),0),"")</f>
        <v>180</v>
      </c>
      <c r="Q393">
        <f>IF(OR(ТабПозиции[[#This Row],[item]]="По штрихкоду",ТабПозиции[[#This Row],[item]]="Посылка"),ТабПозиции[[#This Row],[deliverySumm]]+ТабПозиции[[#This Row],[deliveryPost]],SUM(N393:P393))</f>
        <v>1377</v>
      </c>
      <c r="R393" s="41">
        <v>1377</v>
      </c>
      <c r="S393" s="46">
        <f>ТабПозиции[[#This Row],[totalSumm]]-ТабПозиции[[#This Row],[payment]]</f>
        <v>0</v>
      </c>
      <c r="T393" s="18" t="s">
        <v>580</v>
      </c>
      <c r="U393" s="40" t="s">
        <v>545</v>
      </c>
      <c r="V393" s="40" t="s">
        <v>545</v>
      </c>
      <c r="W393" s="40" t="s">
        <v>545</v>
      </c>
      <c r="X393" s="3"/>
      <c r="Y393"/>
    </row>
    <row r="394" spans="1:25" hidden="1" x14ac:dyDescent="0.25">
      <c r="A394" s="10">
        <v>109</v>
      </c>
      <c r="B394" s="1">
        <f>IFERROR(VLOOKUP(ТабПозиции[[#This Row],[orderNum]],ТабЗаказы[#Data],MATCH(B$7,ТабЗаказы[#Headers],0),0),"")</f>
        <v>45430</v>
      </c>
      <c r="C394" t="str">
        <f>MONTH(ТабПозиции[[#This Row],[date]])&amp;"/"&amp;YEAR(ТабПозиции[[#This Row],[date]])</f>
        <v>5/2024</v>
      </c>
      <c r="D394" s="1" t="str">
        <f>IFERROR(VLOOKUP(ТабПозиции[[#This Row],[orderNum]],ТабЗаказы[#Data],MATCH(D$7,ТабЗаказы[#Headers],0),0),"")</f>
        <v/>
      </c>
      <c r="E394" s="1" t="str">
        <f>IFERROR(VLOOKUP(ТабПозиции[[#This Row],[orderNum]],ТабЗаказы[#Data],MATCH(E$7,ТабЗаказы[#Headers],0),0),"")</f>
        <v/>
      </c>
      <c r="F394" s="16" t="s">
        <v>911</v>
      </c>
      <c r="G394" s="40" t="s">
        <v>545</v>
      </c>
      <c r="I394" s="18">
        <v>45439</v>
      </c>
      <c r="J394" s="10">
        <v>1</v>
      </c>
      <c r="K394" s="10">
        <v>645</v>
      </c>
      <c r="L394">
        <v>645</v>
      </c>
      <c r="M394" s="10">
        <v>698</v>
      </c>
      <c r="N394">
        <f t="shared" si="7"/>
        <v>698</v>
      </c>
      <c r="P3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Row],[orderNum]],ТабПозиции[orderSumm])&gt;1500),ABS(N394*VLOOKUP(ТабПозиции[[#This Row],[orderNum]],ТабЗаказы[#Data],MATCH("Percent",ТабЗаказы[#Headers],0),0))/100,200/COUNTIF(ТабПозиции[orderNum],ТабПозиции[[#This Row],[orderNum]])),0),"")</f>
        <v>105</v>
      </c>
      <c r="Q394">
        <f>IF(OR(ТабПозиции[[#This Row],[item]]="По штрихкоду",ТабПозиции[[#This Row],[item]]="Посылка"),ТабПозиции[[#This Row],[deliverySumm]]+ТабПозиции[[#This Row],[deliveryPost]],SUM(N394:P394))</f>
        <v>803</v>
      </c>
      <c r="R394" s="41">
        <v>803</v>
      </c>
      <c r="S394" s="46">
        <f>ТабПозиции[[#This Row],[totalSumm]]-ТабПозиции[[#This Row],[payment]]</f>
        <v>0</v>
      </c>
      <c r="T394" s="18" t="s">
        <v>580</v>
      </c>
      <c r="U394" s="40" t="s">
        <v>545</v>
      </c>
      <c r="V394" s="40" t="s">
        <v>545</v>
      </c>
      <c r="W394" s="40" t="s">
        <v>545</v>
      </c>
      <c r="X394" s="3"/>
      <c r="Y394"/>
    </row>
    <row r="395" spans="1:25" hidden="1" x14ac:dyDescent="0.25">
      <c r="A395" s="10">
        <v>109</v>
      </c>
      <c r="B395" s="1">
        <f>IFERROR(VLOOKUP(ТабПозиции[[#This Row],[orderNum]],ТабЗаказы[#Data],MATCH(B$7,ТабЗаказы[#Headers],0),0),"")</f>
        <v>45430</v>
      </c>
      <c r="C395" t="str">
        <f>MONTH(ТабПозиции[[#This Row],[date]])&amp;"/"&amp;YEAR(ТабПозиции[[#This Row],[date]])</f>
        <v>5/2024</v>
      </c>
      <c r="D395" s="1" t="str">
        <f>IFERROR(VLOOKUP(ТабПозиции[[#This Row],[orderNum]],ТабЗаказы[#Data],MATCH(D$7,ТабЗаказы[#Headers],0),0),"")</f>
        <v/>
      </c>
      <c r="E395" s="1" t="str">
        <f>IFERROR(VLOOKUP(ТабПозиции[[#This Row],[orderNum]],ТабЗаказы[#Data],MATCH(E$7,ТабЗаказы[#Headers],0),0),"")</f>
        <v/>
      </c>
      <c r="F395" s="16" t="s">
        <v>579</v>
      </c>
      <c r="G395" s="40" t="s">
        <v>545</v>
      </c>
      <c r="I395" s="18">
        <v>45432</v>
      </c>
      <c r="J395" s="10">
        <v>1</v>
      </c>
      <c r="K395" s="10">
        <v>490</v>
      </c>
      <c r="L395">
        <v>490</v>
      </c>
      <c r="M395" s="10">
        <v>528</v>
      </c>
      <c r="N395">
        <f t="shared" si="7"/>
        <v>528</v>
      </c>
      <c r="P3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Row],[orderNum]],ТабПозиции[orderSumm])&gt;1500),ABS(N395*VLOOKUP(ТабПозиции[[#This Row],[orderNum]],ТабЗаказы[#Data],MATCH("Percent",ТабЗаказы[#Headers],0),0))/100,200/COUNTIF(ТабПозиции[orderNum],ТабПозиции[[#This Row],[orderNum]])),0),"")</f>
        <v>79</v>
      </c>
      <c r="Q395">
        <f>IF(OR(ТабПозиции[[#This Row],[item]]="По штрихкоду",ТабПозиции[[#This Row],[item]]="Посылка"),ТабПозиции[[#This Row],[deliverySumm]]+ТабПозиции[[#This Row],[deliveryPost]],SUM(N395:P395))</f>
        <v>607</v>
      </c>
      <c r="R395" s="41">
        <v>607</v>
      </c>
      <c r="S395" s="46">
        <f>ТабПозиции[[#This Row],[totalSumm]]-ТабПозиции[[#This Row],[payment]]</f>
        <v>0</v>
      </c>
      <c r="T395" s="18" t="s">
        <v>580</v>
      </c>
      <c r="U395" s="40" t="s">
        <v>545</v>
      </c>
      <c r="V395" s="40" t="s">
        <v>545</v>
      </c>
      <c r="W395" s="40" t="s">
        <v>545</v>
      </c>
      <c r="X395" s="3"/>
      <c r="Y395"/>
    </row>
    <row r="396" spans="1:25" hidden="1" x14ac:dyDescent="0.25">
      <c r="A396" s="10">
        <v>109</v>
      </c>
      <c r="B396" s="1">
        <f>IFERROR(VLOOKUP(ТабПозиции[[#This Row],[orderNum]],ТабЗаказы[#Data],MATCH(B$7,ТабЗаказы[#Headers],0),0),"")</f>
        <v>45430</v>
      </c>
      <c r="C396" t="str">
        <f>MONTH(ТабПозиции[[#This Row],[date]])&amp;"/"&amp;YEAR(ТабПозиции[[#This Row],[date]])</f>
        <v>5/2024</v>
      </c>
      <c r="D396" s="1" t="str">
        <f>IFERROR(VLOOKUP(ТабПозиции[[#This Row],[orderNum]],ТабЗаказы[#Data],MATCH(D$7,ТабЗаказы[#Headers],0),0),"")</f>
        <v/>
      </c>
      <c r="E396" s="1" t="str">
        <f>IFERROR(VLOOKUP(ТабПозиции[[#This Row],[orderNum]],ТабЗаказы[#Data],MATCH(E$7,ТабЗаказы[#Headers],0),0),"")</f>
        <v/>
      </c>
      <c r="F396" s="16" t="s">
        <v>912</v>
      </c>
      <c r="G396" s="40" t="s">
        <v>545</v>
      </c>
      <c r="I396" s="18">
        <v>45433</v>
      </c>
      <c r="J396" s="10">
        <v>1</v>
      </c>
      <c r="K396" s="10">
        <v>1326</v>
      </c>
      <c r="L396">
        <v>1326</v>
      </c>
      <c r="M396" s="10">
        <v>1368</v>
      </c>
      <c r="N396">
        <f t="shared" si="7"/>
        <v>1368</v>
      </c>
      <c r="P3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Row],[orderNum]],ТабПозиции[orderSumm])&gt;1500),ABS(N396*VLOOKUP(ТабПозиции[[#This Row],[orderNum]],ТабЗаказы[#Data],MATCH("Percent",ТабЗаказы[#Headers],0),0))/100,200/COUNTIF(ТабПозиции[orderNum],ТабПозиции[[#This Row],[orderNum]])),0),"")</f>
        <v>205</v>
      </c>
      <c r="Q396">
        <f>IF(OR(ТабПозиции[[#This Row],[item]]="По штрихкоду",ТабПозиции[[#This Row],[item]]="Посылка"),ТабПозиции[[#This Row],[deliverySumm]]+ТабПозиции[[#This Row],[deliveryPost]],SUM(N396:P396))</f>
        <v>1573</v>
      </c>
      <c r="R396" s="41">
        <v>1573</v>
      </c>
      <c r="S396" s="46">
        <f>ТабПозиции[[#This Row],[totalSumm]]-ТабПозиции[[#This Row],[payment]]</f>
        <v>0</v>
      </c>
      <c r="T396" s="18" t="s">
        <v>563</v>
      </c>
      <c r="U396" s="40" t="s">
        <v>545</v>
      </c>
      <c r="V396" s="40" t="s">
        <v>545</v>
      </c>
      <c r="W396" s="40" t="s">
        <v>545</v>
      </c>
      <c r="X396" s="3"/>
      <c r="Y396"/>
    </row>
    <row r="397" spans="1:25" hidden="1" x14ac:dyDescent="0.25">
      <c r="A397" s="10">
        <v>109</v>
      </c>
      <c r="B397" s="1">
        <f>IFERROR(VLOOKUP(ТабПозиции[[#This Row],[orderNum]],ТабЗаказы[#Data],MATCH(B$7,ТабЗаказы[#Headers],0),0),"")</f>
        <v>45430</v>
      </c>
      <c r="C397" t="str">
        <f>MONTH(ТабПозиции[[#This Row],[date]])&amp;"/"&amp;YEAR(ТабПозиции[[#This Row],[date]])</f>
        <v>5/2024</v>
      </c>
      <c r="D397" s="1" t="str">
        <f>IFERROR(VLOOKUP(ТабПозиции[[#This Row],[orderNum]],ТабЗаказы[#Data],MATCH(D$7,ТабЗаказы[#Headers],0),0),"")</f>
        <v/>
      </c>
      <c r="E397" s="1" t="str">
        <f>IFERROR(VLOOKUP(ТабПозиции[[#This Row],[orderNum]],ТабЗаказы[#Data],MATCH(E$7,ТабЗаказы[#Headers],0),0),"")</f>
        <v/>
      </c>
      <c r="F397" s="16" t="s">
        <v>913</v>
      </c>
      <c r="G397" s="40" t="s">
        <v>545</v>
      </c>
      <c r="I397" s="18">
        <v>45432</v>
      </c>
      <c r="J397" s="10">
        <v>1</v>
      </c>
      <c r="K397" s="10">
        <v>338</v>
      </c>
      <c r="L397">
        <v>338</v>
      </c>
      <c r="M397" s="10">
        <v>349</v>
      </c>
      <c r="N397">
        <f t="shared" si="7"/>
        <v>349</v>
      </c>
      <c r="P3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Row],[orderNum]],ТабПозиции[orderSumm])&gt;1500),ABS(N397*VLOOKUP(ТабПозиции[[#This Row],[orderNum]],ТабЗаказы[#Data],MATCH("Percent",ТабЗаказы[#Headers],0),0))/100,200/COUNTIF(ТабПозиции[orderNum],ТабПозиции[[#This Row],[orderNum]])),0),"")</f>
        <v>52</v>
      </c>
      <c r="Q397">
        <f>IF(OR(ТабПозиции[[#This Row],[item]]="По штрихкоду",ТабПозиции[[#This Row],[item]]="Посылка"),ТабПозиции[[#This Row],[deliverySumm]]+ТабПозиции[[#This Row],[deliveryPost]],SUM(N397:P397))</f>
        <v>401</v>
      </c>
      <c r="R397" s="41">
        <v>401</v>
      </c>
      <c r="S397" s="46">
        <f>ТабПозиции[[#This Row],[totalSumm]]-ТабПозиции[[#This Row],[payment]]</f>
        <v>0</v>
      </c>
      <c r="T397" s="18" t="s">
        <v>563</v>
      </c>
      <c r="U397" s="40" t="s">
        <v>545</v>
      </c>
      <c r="V397" s="40" t="s">
        <v>545</v>
      </c>
      <c r="W397" s="40" t="s">
        <v>545</v>
      </c>
      <c r="X397" s="3"/>
      <c r="Y397"/>
    </row>
    <row r="398" spans="1:25" hidden="1" x14ac:dyDescent="0.25">
      <c r="A398" s="10">
        <v>109</v>
      </c>
      <c r="B398" s="1">
        <f>IFERROR(VLOOKUP(ТабПозиции[[#This Row],[orderNum]],ТабЗаказы[#Data],MATCH(B$7,ТабЗаказы[#Headers],0),0),"")</f>
        <v>45430</v>
      </c>
      <c r="C398" t="str">
        <f>MONTH(ТабПозиции[[#This Row],[date]])&amp;"/"&amp;YEAR(ТабПозиции[[#This Row],[date]])</f>
        <v>5/2024</v>
      </c>
      <c r="D398" s="1" t="str">
        <f>IFERROR(VLOOKUP(ТабПозиции[[#This Row],[orderNum]],ТабЗаказы[#Data],MATCH(D$7,ТабЗаказы[#Headers],0),0),"")</f>
        <v/>
      </c>
      <c r="E398" s="1" t="str">
        <f>IFERROR(VLOOKUP(ТабПозиции[[#This Row],[orderNum]],ТабЗаказы[#Data],MATCH(E$7,ТабЗаказы[#Headers],0),0),"")</f>
        <v/>
      </c>
      <c r="F398" s="16" t="s">
        <v>914</v>
      </c>
      <c r="G398" s="40" t="s">
        <v>545</v>
      </c>
      <c r="I398" s="18">
        <v>45433</v>
      </c>
      <c r="J398" s="10">
        <v>1</v>
      </c>
      <c r="K398" s="10">
        <v>547</v>
      </c>
      <c r="L398">
        <v>547</v>
      </c>
      <c r="M398" s="10">
        <v>564</v>
      </c>
      <c r="N398">
        <f t="shared" si="7"/>
        <v>564</v>
      </c>
      <c r="P3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Row],[orderNum]],ТабПозиции[orderSumm])&gt;1500),ABS(N398*VLOOKUP(ТабПозиции[[#This Row],[orderNum]],ТабЗаказы[#Data],MATCH("Percent",ТабЗаказы[#Headers],0),0))/100,200/COUNTIF(ТабПозиции[orderNum],ТабПозиции[[#This Row],[orderNum]])),0),"")</f>
        <v>85</v>
      </c>
      <c r="Q398">
        <f>IF(OR(ТабПозиции[[#This Row],[item]]="По штрихкоду",ТабПозиции[[#This Row],[item]]="Посылка"),ТабПозиции[[#This Row],[deliverySumm]]+ТабПозиции[[#This Row],[deliveryPost]],SUM(N398:P398))</f>
        <v>649</v>
      </c>
      <c r="R398" s="41">
        <v>649</v>
      </c>
      <c r="S398" s="46">
        <f>ТабПозиции[[#This Row],[totalSumm]]-ТабПозиции[[#This Row],[payment]]</f>
        <v>0</v>
      </c>
      <c r="T398" s="18" t="s">
        <v>563</v>
      </c>
      <c r="U398" s="40" t="s">
        <v>545</v>
      </c>
      <c r="V398" s="40" t="s">
        <v>545</v>
      </c>
      <c r="W398" s="40" t="s">
        <v>545</v>
      </c>
      <c r="X398" s="3"/>
      <c r="Y398"/>
    </row>
    <row r="399" spans="1:25" hidden="1" x14ac:dyDescent="0.25">
      <c r="A399" s="10">
        <v>109</v>
      </c>
      <c r="B399" s="1">
        <f>IFERROR(VLOOKUP(ТабПозиции[[#This Row],[orderNum]],ТабЗаказы[#Data],MATCH(B$7,ТабЗаказы[#Headers],0),0),"")</f>
        <v>45430</v>
      </c>
      <c r="C399" t="str">
        <f>MONTH(ТабПозиции[[#This Row],[date]])&amp;"/"&amp;YEAR(ТабПозиции[[#This Row],[date]])</f>
        <v>5/2024</v>
      </c>
      <c r="D399" s="1" t="str">
        <f>IFERROR(VLOOKUP(ТабПозиции[[#This Row],[orderNum]],ТабЗаказы[#Data],MATCH(D$7,ТабЗаказы[#Headers],0),0),"")</f>
        <v/>
      </c>
      <c r="E399" s="1" t="str">
        <f>IFERROR(VLOOKUP(ТабПозиции[[#This Row],[orderNum]],ТабЗаказы[#Data],MATCH(E$7,ТабЗаказы[#Headers],0),0),"")</f>
        <v/>
      </c>
      <c r="F399" s="16" t="s">
        <v>915</v>
      </c>
      <c r="G399" s="40" t="s">
        <v>545</v>
      </c>
      <c r="I399" s="18">
        <v>45432</v>
      </c>
      <c r="J399" s="10">
        <v>1</v>
      </c>
      <c r="K399" s="10">
        <v>547</v>
      </c>
      <c r="L399">
        <v>547</v>
      </c>
      <c r="M399" s="10">
        <v>564</v>
      </c>
      <c r="N399">
        <f t="shared" si="7"/>
        <v>564</v>
      </c>
      <c r="P3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Row],[orderNum]],ТабПозиции[orderSumm])&gt;1500),ABS(N399*VLOOKUP(ТабПозиции[[#This Row],[orderNum]],ТабЗаказы[#Data],MATCH("Percent",ТабЗаказы[#Headers],0),0))/100,200/COUNTIF(ТабПозиции[orderNum],ТабПозиции[[#This Row],[orderNum]])),0),"")</f>
        <v>85</v>
      </c>
      <c r="Q399">
        <f>IF(OR(ТабПозиции[[#This Row],[item]]="По штрихкоду",ТабПозиции[[#This Row],[item]]="Посылка"),ТабПозиции[[#This Row],[deliverySumm]]+ТабПозиции[[#This Row],[deliveryPost]],SUM(N399:P399))</f>
        <v>649</v>
      </c>
      <c r="R399" s="41">
        <v>649</v>
      </c>
      <c r="S399" s="46">
        <f>ТабПозиции[[#This Row],[totalSumm]]-ТабПозиции[[#This Row],[payment]]</f>
        <v>0</v>
      </c>
      <c r="T399" s="18" t="s">
        <v>563</v>
      </c>
      <c r="U399" s="40" t="s">
        <v>545</v>
      </c>
      <c r="V399" s="40" t="s">
        <v>545</v>
      </c>
      <c r="W399" s="40" t="s">
        <v>545</v>
      </c>
      <c r="X399" s="3"/>
      <c r="Y399"/>
    </row>
    <row r="400" spans="1:25" hidden="1" x14ac:dyDescent="0.25">
      <c r="A400" s="10">
        <v>109</v>
      </c>
      <c r="B400" s="1">
        <f>IFERROR(VLOOKUP(ТабПозиции[[#This Row],[orderNum]],ТабЗаказы[#Data],MATCH(B$7,ТабЗаказы[#Headers],0),0),"")</f>
        <v>45430</v>
      </c>
      <c r="C400" t="str">
        <f>MONTH(ТабПозиции[[#This Row],[date]])&amp;"/"&amp;YEAR(ТабПозиции[[#This Row],[date]])</f>
        <v>5/2024</v>
      </c>
      <c r="D400" s="1" t="str">
        <f>IFERROR(VLOOKUP(ТабПозиции[[#This Row],[orderNum]],ТабЗаказы[#Data],MATCH(D$7,ТабЗаказы[#Headers],0),0),"")</f>
        <v/>
      </c>
      <c r="E400" s="1" t="str">
        <f>IFERROR(VLOOKUP(ТабПозиции[[#This Row],[orderNum]],ТабЗаказы[#Data],MATCH(E$7,ТабЗаказы[#Headers],0),0),"")</f>
        <v/>
      </c>
      <c r="F400" s="16" t="s">
        <v>916</v>
      </c>
      <c r="G400" s="40" t="s">
        <v>545</v>
      </c>
      <c r="I400" s="18">
        <v>45433</v>
      </c>
      <c r="J400" s="10">
        <v>1</v>
      </c>
      <c r="K400" s="10">
        <v>2213</v>
      </c>
      <c r="L400">
        <v>2213</v>
      </c>
      <c r="M400" s="10">
        <v>2282</v>
      </c>
      <c r="N400">
        <f t="shared" si="7"/>
        <v>2282</v>
      </c>
      <c r="P4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Row],[orderNum]],ТабПозиции[orderSumm])&gt;1500),ABS(N400*VLOOKUP(ТабПозиции[[#This Row],[orderNum]],ТабЗаказы[#Data],MATCH("Percent",ТабЗаказы[#Headers],0),0))/100,200/COUNTIF(ТабПозиции[orderNum],ТабПозиции[[#This Row],[orderNum]])),0),"")</f>
        <v>342</v>
      </c>
      <c r="Q400">
        <f>IF(OR(ТабПозиции[[#This Row],[item]]="По штрихкоду",ТабПозиции[[#This Row],[item]]="Посылка"),ТабПозиции[[#This Row],[deliverySumm]]+ТабПозиции[[#This Row],[deliveryPost]],SUM(N400:P400))</f>
        <v>2624</v>
      </c>
      <c r="R400" s="41">
        <v>2624</v>
      </c>
      <c r="S400" s="46">
        <f>ТабПозиции[[#This Row],[totalSumm]]-ТабПозиции[[#This Row],[payment]]</f>
        <v>0</v>
      </c>
      <c r="T400" s="18" t="s">
        <v>563</v>
      </c>
      <c r="U400" s="40" t="s">
        <v>545</v>
      </c>
      <c r="V400" s="40" t="s">
        <v>545</v>
      </c>
      <c r="W400" s="40" t="s">
        <v>545</v>
      </c>
      <c r="X400" s="3"/>
      <c r="Y400"/>
    </row>
    <row r="401" spans="1:25" hidden="1" x14ac:dyDescent="0.25">
      <c r="A401" s="10">
        <v>110</v>
      </c>
      <c r="B401" s="1">
        <f>IFERROR(VLOOKUP(ТабПозиции[[#This Row],[orderNum]],ТабЗаказы[#Data],MATCH(B$7,ТабЗаказы[#Headers],0),0),"")</f>
        <v>45430</v>
      </c>
      <c r="C401" t="str">
        <f>MONTH(ТабПозиции[[#This Row],[date]])&amp;"/"&amp;YEAR(ТабПозиции[[#This Row],[date]])</f>
        <v>5/2024</v>
      </c>
      <c r="D401" s="1" t="str">
        <f>IFERROR(VLOOKUP(ТабПозиции[[#This Row],[orderNum]],ТабЗаказы[#Data],MATCH(D$7,ТабЗаказы[#Headers],0),0),"")</f>
        <v/>
      </c>
      <c r="E401" s="1" t="str">
        <f>IFERROR(VLOOKUP(ТабПозиции[[#This Row],[orderNum]],ТабЗаказы[#Data],MATCH(E$7,ТабЗаказы[#Headers],0),0),"")</f>
        <v/>
      </c>
      <c r="F401" s="16" t="s">
        <v>917</v>
      </c>
      <c r="G401" s="40" t="s">
        <v>545</v>
      </c>
      <c r="I401" s="18">
        <v>45455</v>
      </c>
      <c r="J401" s="10">
        <v>1</v>
      </c>
      <c r="K401" s="10">
        <v>926</v>
      </c>
      <c r="L401">
        <v>926</v>
      </c>
      <c r="M401" s="10">
        <v>955</v>
      </c>
      <c r="N401">
        <f t="shared" si="7"/>
        <v>955</v>
      </c>
      <c r="P4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Row],[orderNum]],ТабПозиции[orderSumm])&gt;1500),ABS(N401*VLOOKUP(ТабПозиции[[#This Row],[orderNum]],ТабЗаказы[#Data],MATCH("Percent",ТабЗаказы[#Headers],0),0))/100,200/COUNTIF(ТабПозиции[orderNum],ТабПозиции[[#This Row],[orderNum]])),0),"")</f>
        <v>143</v>
      </c>
      <c r="Q401">
        <f>IF(OR(ТабПозиции[[#This Row],[item]]="По штрихкоду",ТабПозиции[[#This Row],[item]]="Посылка"),ТабПозиции[[#This Row],[deliverySumm]]+ТабПозиции[[#This Row],[deliveryPost]],SUM(N401:P401))</f>
        <v>1098</v>
      </c>
      <c r="R401" s="41">
        <v>1098</v>
      </c>
      <c r="S401" s="46">
        <f>ТабПозиции[[#This Row],[totalSumm]]-ТабПозиции[[#This Row],[payment]]</f>
        <v>0</v>
      </c>
      <c r="T401" s="18" t="s">
        <v>563</v>
      </c>
      <c r="U401" s="40" t="s">
        <v>545</v>
      </c>
      <c r="V401" s="40" t="s">
        <v>545</v>
      </c>
      <c r="W401" s="40" t="s">
        <v>545</v>
      </c>
      <c r="X401" s="3"/>
      <c r="Y401"/>
    </row>
    <row r="402" spans="1:25" hidden="1" x14ac:dyDescent="0.25">
      <c r="A402" s="10">
        <v>110</v>
      </c>
      <c r="B402" s="1">
        <f>IFERROR(VLOOKUP(ТабПозиции[[#This Row],[orderNum]],ТабЗаказы[#Data],MATCH(B$7,ТабЗаказы[#Headers],0),0),"")</f>
        <v>45430</v>
      </c>
      <c r="C402" t="str">
        <f>MONTH(ТабПозиции[[#This Row],[date]])&amp;"/"&amp;YEAR(ТабПозиции[[#This Row],[date]])</f>
        <v>5/2024</v>
      </c>
      <c r="D402" s="1" t="str">
        <f>IFERROR(VLOOKUP(ТабПозиции[[#This Row],[orderNum]],ТабЗаказы[#Data],MATCH(D$7,ТабЗаказы[#Headers],0),0),"")</f>
        <v/>
      </c>
      <c r="E402" s="1" t="str">
        <f>IFERROR(VLOOKUP(ТабПозиции[[#This Row],[orderNum]],ТабЗаказы[#Data],MATCH(E$7,ТабЗаказы[#Headers],0),0),"")</f>
        <v/>
      </c>
      <c r="F402" s="16" t="s">
        <v>918</v>
      </c>
      <c r="G402" s="40" t="s">
        <v>545</v>
      </c>
      <c r="I402" s="18">
        <v>45432</v>
      </c>
      <c r="J402" s="10">
        <v>1</v>
      </c>
      <c r="K402" s="10">
        <v>165</v>
      </c>
      <c r="L402">
        <v>165</v>
      </c>
      <c r="M402" s="10">
        <v>171</v>
      </c>
      <c r="N402">
        <f t="shared" si="7"/>
        <v>171</v>
      </c>
      <c r="P4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Row],[orderNum]],ТабПозиции[orderSumm])&gt;1500),ABS(N402*VLOOKUP(ТабПозиции[[#This Row],[orderNum]],ТабЗаказы[#Data],MATCH("Percent",ТабЗаказы[#Headers],0),0))/100,200/COUNTIF(ТабПозиции[orderNum],ТабПозиции[[#This Row],[orderNum]])),0),"")</f>
        <v>26</v>
      </c>
      <c r="Q402">
        <f>IF(OR(ТабПозиции[[#This Row],[item]]="По штрихкоду",ТабПозиции[[#This Row],[item]]="Посылка"),ТабПозиции[[#This Row],[deliverySumm]]+ТабПозиции[[#This Row],[deliveryPost]],SUM(N402:P402))</f>
        <v>197</v>
      </c>
      <c r="R402" s="41">
        <v>197</v>
      </c>
      <c r="S402" s="46">
        <f>ТабПозиции[[#This Row],[totalSumm]]-ТабПозиции[[#This Row],[payment]]</f>
        <v>0</v>
      </c>
      <c r="T402" s="18" t="s">
        <v>563</v>
      </c>
      <c r="U402" s="40" t="s">
        <v>545</v>
      </c>
      <c r="V402" s="40" t="s">
        <v>545</v>
      </c>
      <c r="W402" s="40" t="s">
        <v>545</v>
      </c>
      <c r="X402" s="3"/>
      <c r="Y402"/>
    </row>
    <row r="403" spans="1:25" hidden="1" x14ac:dyDescent="0.25">
      <c r="A403" s="10">
        <v>110</v>
      </c>
      <c r="B403" s="1">
        <f>IFERROR(VLOOKUP(ТабПозиции[[#This Row],[orderNum]],ТабЗаказы[#Data],MATCH(B$7,ТабЗаказы[#Headers],0),0),"")</f>
        <v>45430</v>
      </c>
      <c r="C403" t="str">
        <f>MONTH(ТабПозиции[[#This Row],[date]])&amp;"/"&amp;YEAR(ТабПозиции[[#This Row],[date]])</f>
        <v>5/2024</v>
      </c>
      <c r="D403" s="1" t="str">
        <f>IFERROR(VLOOKUP(ТабПозиции[[#This Row],[orderNum]],ТабЗаказы[#Data],MATCH(D$7,ТабЗаказы[#Headers],0),0),"")</f>
        <v/>
      </c>
      <c r="E403" s="1" t="str">
        <f>IFERROR(VLOOKUP(ТабПозиции[[#This Row],[orderNum]],ТабЗаказы[#Data],MATCH(E$7,ТабЗаказы[#Headers],0),0),"")</f>
        <v/>
      </c>
      <c r="F403" s="16" t="s">
        <v>919</v>
      </c>
      <c r="G403" s="40" t="s">
        <v>545</v>
      </c>
      <c r="I403" s="18">
        <v>45444</v>
      </c>
      <c r="J403" s="10">
        <v>1</v>
      </c>
      <c r="K403" s="10">
        <v>162</v>
      </c>
      <c r="L403">
        <v>162</v>
      </c>
      <c r="M403" s="10">
        <v>162</v>
      </c>
      <c r="N403">
        <f t="shared" si="7"/>
        <v>162</v>
      </c>
      <c r="P4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Row],[orderNum]],ТабПозиции[orderSumm])&gt;1500),ABS(N403*VLOOKUP(ТабПозиции[[#This Row],[orderNum]],ТабЗаказы[#Data],MATCH("Percent",ТабЗаказы[#Headers],0),0))/100,200/COUNTIF(ТабПозиции[orderNum],ТабПозиции[[#This Row],[orderNum]])),0),"")</f>
        <v>24</v>
      </c>
      <c r="Q403">
        <f>IF(OR(ТабПозиции[[#This Row],[item]]="По штрихкоду",ТабПозиции[[#This Row],[item]]="Посылка"),ТабПозиции[[#This Row],[deliverySumm]]+ТабПозиции[[#This Row],[deliveryPost]],SUM(N403:P403))</f>
        <v>186</v>
      </c>
      <c r="R403" s="41">
        <v>186</v>
      </c>
      <c r="S403" s="46">
        <f>ТабПозиции[[#This Row],[totalSumm]]-ТабПозиции[[#This Row],[payment]]</f>
        <v>0</v>
      </c>
      <c r="T403" s="18" t="s">
        <v>580</v>
      </c>
      <c r="U403" s="40" t="s">
        <v>545</v>
      </c>
      <c r="V403" s="40" t="s">
        <v>545</v>
      </c>
      <c r="W403" s="40" t="s">
        <v>545</v>
      </c>
      <c r="X403" s="3"/>
      <c r="Y403"/>
    </row>
    <row r="404" spans="1:25" hidden="1" x14ac:dyDescent="0.25">
      <c r="A404" s="10">
        <v>110</v>
      </c>
      <c r="B404" s="1">
        <f>IFERROR(VLOOKUP(ТабПозиции[[#This Row],[orderNum]],ТабЗаказы[#Data],MATCH(B$7,ТабЗаказы[#Headers],0),0),"")</f>
        <v>45430</v>
      </c>
      <c r="C404" t="str">
        <f>MONTH(ТабПозиции[[#This Row],[date]])&amp;"/"&amp;YEAR(ТабПозиции[[#This Row],[date]])</f>
        <v>5/2024</v>
      </c>
      <c r="D404" s="1" t="str">
        <f>IFERROR(VLOOKUP(ТабПозиции[[#This Row],[orderNum]],ТабЗаказы[#Data],MATCH(D$7,ТабЗаказы[#Headers],0),0),"")</f>
        <v/>
      </c>
      <c r="E404" s="1" t="str">
        <f>IFERROR(VLOOKUP(ТабПозиции[[#This Row],[orderNum]],ТабЗаказы[#Data],MATCH(E$7,ТабЗаказы[#Headers],0),0),"")</f>
        <v/>
      </c>
      <c r="F404" s="16" t="s">
        <v>920</v>
      </c>
      <c r="G404" s="40" t="s">
        <v>545</v>
      </c>
      <c r="I404" s="18">
        <v>45432</v>
      </c>
      <c r="J404" s="10">
        <v>1</v>
      </c>
      <c r="K404" s="10">
        <v>1937</v>
      </c>
      <c r="L404">
        <v>1937</v>
      </c>
      <c r="M404" s="10">
        <v>1997</v>
      </c>
      <c r="N404">
        <f t="shared" si="7"/>
        <v>1997</v>
      </c>
      <c r="P4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Row],[orderNum]],ТабПозиции[orderSumm])&gt;1500),ABS(N404*VLOOKUP(ТабПозиции[[#This Row],[orderNum]],ТабЗаказы[#Data],MATCH("Percent",ТабЗаказы[#Headers],0),0))/100,200/COUNTIF(ТабПозиции[orderNum],ТабПозиции[[#This Row],[orderNum]])),0),"")</f>
        <v>300</v>
      </c>
      <c r="Q404">
        <f>IF(OR(ТабПозиции[[#This Row],[item]]="По штрихкоду",ТабПозиции[[#This Row],[item]]="Посылка"),ТабПозиции[[#This Row],[deliverySumm]]+ТабПозиции[[#This Row],[deliveryPost]],SUM(N404:P404))</f>
        <v>2297</v>
      </c>
      <c r="R404" s="41">
        <v>2297</v>
      </c>
      <c r="S404" s="46">
        <f>ТабПозиции[[#This Row],[totalSumm]]-ТабПозиции[[#This Row],[payment]]</f>
        <v>0</v>
      </c>
      <c r="T404" s="18" t="s">
        <v>563</v>
      </c>
      <c r="U404" s="40" t="s">
        <v>545</v>
      </c>
      <c r="V404" s="40" t="s">
        <v>545</v>
      </c>
      <c r="W404" s="40" t="s">
        <v>545</v>
      </c>
      <c r="X404" s="3"/>
      <c r="Y404"/>
    </row>
    <row r="405" spans="1:25" hidden="1" x14ac:dyDescent="0.25">
      <c r="A405" s="10">
        <v>110</v>
      </c>
      <c r="B405" s="1">
        <f>IFERROR(VLOOKUP(ТабПозиции[[#This Row],[orderNum]],ТабЗаказы[#Data],MATCH(B$7,ТабЗаказы[#Headers],0),0),"")</f>
        <v>45430</v>
      </c>
      <c r="C405" t="str">
        <f>MONTH(ТабПозиции[[#This Row],[date]])&amp;"/"&amp;YEAR(ТабПозиции[[#This Row],[date]])</f>
        <v>5/2024</v>
      </c>
      <c r="D405" s="1" t="str">
        <f>IFERROR(VLOOKUP(ТабПозиции[[#This Row],[orderNum]],ТабЗаказы[#Data],MATCH(D$7,ТабЗаказы[#Headers],0),0),"")</f>
        <v/>
      </c>
      <c r="E405" s="1" t="str">
        <f>IFERROR(VLOOKUP(ТабПозиции[[#This Row],[orderNum]],ТабЗаказы[#Data],MATCH(E$7,ТабЗаказы[#Headers],0),0),"")</f>
        <v/>
      </c>
      <c r="F405" s="16" t="s">
        <v>921</v>
      </c>
      <c r="G405" s="40" t="s">
        <v>545</v>
      </c>
      <c r="I405" s="18">
        <v>45432</v>
      </c>
      <c r="J405" s="10">
        <v>1</v>
      </c>
      <c r="K405" s="10">
        <v>200</v>
      </c>
      <c r="L405">
        <v>200</v>
      </c>
      <c r="M405" s="10">
        <v>207</v>
      </c>
      <c r="N405">
        <f t="shared" si="7"/>
        <v>207</v>
      </c>
      <c r="P4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Row],[orderNum]],ТабПозиции[orderSumm])&gt;1500),ABS(N405*VLOOKUP(ТабПозиции[[#This Row],[orderNum]],ТабЗаказы[#Data],MATCH("Percent",ТабЗаказы[#Headers],0),0))/100,200/COUNTIF(ТабПозиции[orderNum],ТабПозиции[[#This Row],[orderNum]])),0),"")</f>
        <v>31</v>
      </c>
      <c r="Q405">
        <f>IF(OR(ТабПозиции[[#This Row],[item]]="По штрихкоду",ТабПозиции[[#This Row],[item]]="Посылка"),ТабПозиции[[#This Row],[deliverySumm]]+ТабПозиции[[#This Row],[deliveryPost]],SUM(N405:P405))</f>
        <v>238</v>
      </c>
      <c r="R405" s="41">
        <v>238</v>
      </c>
      <c r="S405" s="46">
        <f>ТабПозиции[[#This Row],[totalSumm]]-ТабПозиции[[#This Row],[payment]]</f>
        <v>0</v>
      </c>
      <c r="T405" s="18" t="s">
        <v>563</v>
      </c>
      <c r="U405" s="40" t="s">
        <v>545</v>
      </c>
      <c r="V405" s="40" t="s">
        <v>545</v>
      </c>
      <c r="W405" s="40" t="s">
        <v>545</v>
      </c>
      <c r="X405" s="3"/>
      <c r="Y405"/>
    </row>
    <row r="406" spans="1:25" hidden="1" x14ac:dyDescent="0.25">
      <c r="A406" s="10">
        <v>110</v>
      </c>
      <c r="B406" s="1">
        <f>IFERROR(VLOOKUP(ТабПозиции[[#This Row],[orderNum]],ТабЗаказы[#Data],MATCH(B$7,ТабЗаказы[#Headers],0),0),"")</f>
        <v>45430</v>
      </c>
      <c r="C406" t="str">
        <f>MONTH(ТабПозиции[[#This Row],[date]])&amp;"/"&amp;YEAR(ТабПозиции[[#This Row],[date]])</f>
        <v>5/2024</v>
      </c>
      <c r="D406" s="1" t="str">
        <f>IFERROR(VLOOKUP(ТабПозиции[[#This Row],[orderNum]],ТабЗаказы[#Data],MATCH(D$7,ТабЗаказы[#Headers],0),0),"")</f>
        <v/>
      </c>
      <c r="E406" s="1" t="str">
        <f>IFERROR(VLOOKUP(ТабПозиции[[#This Row],[orderNum]],ТабЗаказы[#Data],MATCH(E$7,ТабЗаказы[#Headers],0),0),"")</f>
        <v/>
      </c>
      <c r="F406" s="16" t="s">
        <v>922</v>
      </c>
      <c r="G406" s="40" t="s">
        <v>545</v>
      </c>
      <c r="I406" s="18">
        <v>45433</v>
      </c>
      <c r="J406" s="10">
        <v>1</v>
      </c>
      <c r="K406" s="10">
        <v>520</v>
      </c>
      <c r="L406">
        <v>520</v>
      </c>
      <c r="M406" s="10">
        <v>531</v>
      </c>
      <c r="N406">
        <f t="shared" si="7"/>
        <v>531</v>
      </c>
      <c r="P4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Row],[orderNum]],ТабПозиции[orderSumm])&gt;1500),ABS(N406*VLOOKUP(ТабПозиции[[#This Row],[orderNum]],ТабЗаказы[#Data],MATCH("Percent",ТабЗаказы[#Headers],0),0))/100,200/COUNTIF(ТабПозиции[orderNum],ТабПозиции[[#This Row],[orderNum]])),0),"")</f>
        <v>80</v>
      </c>
      <c r="Q406">
        <f>IF(OR(ТабПозиции[[#This Row],[item]]="По штрихкоду",ТабПозиции[[#This Row],[item]]="Посылка"),ТабПозиции[[#This Row],[deliverySumm]]+ТабПозиции[[#This Row],[deliveryPost]],SUM(N406:P406))</f>
        <v>611</v>
      </c>
      <c r="R406" s="41">
        <v>611</v>
      </c>
      <c r="S406" s="46">
        <f>ТабПозиции[[#This Row],[totalSumm]]-ТабПозиции[[#This Row],[payment]]</f>
        <v>0</v>
      </c>
      <c r="T406" s="18" t="s">
        <v>580</v>
      </c>
      <c r="U406" s="40" t="s">
        <v>545</v>
      </c>
      <c r="V406" s="40" t="s">
        <v>545</v>
      </c>
      <c r="W406" s="40" t="s">
        <v>545</v>
      </c>
      <c r="X406" s="3"/>
      <c r="Y406"/>
    </row>
    <row r="407" spans="1:25" hidden="1" x14ac:dyDescent="0.25">
      <c r="A407" s="10">
        <v>111</v>
      </c>
      <c r="B407" s="1">
        <f>IFERROR(VLOOKUP(ТабПозиции[[#This Row],[orderNum]],ТабЗаказы[#Data],MATCH(B$7,ТабЗаказы[#Headers],0),0),"")</f>
        <v>45432</v>
      </c>
      <c r="C407" t="str">
        <f>MONTH(ТабПозиции[[#This Row],[date]])&amp;"/"&amp;YEAR(ТабПозиции[[#This Row],[date]])</f>
        <v>5/2024</v>
      </c>
      <c r="D407" s="1" t="str">
        <f>IFERROR(VLOOKUP(ТабПозиции[[#This Row],[orderNum]],ТабЗаказы[#Data],MATCH(D$7,ТабЗаказы[#Headers],0),0),"")</f>
        <v/>
      </c>
      <c r="E407" s="1" t="str">
        <f>IFERROR(VLOOKUP(ТабПозиции[[#This Row],[orderNum]],ТабЗаказы[#Data],MATCH(E$7,ТабЗаказы[#Headers],0),0),"")</f>
        <v/>
      </c>
      <c r="F407" s="10" t="s">
        <v>820</v>
      </c>
      <c r="G407" s="40" t="s">
        <v>545</v>
      </c>
      <c r="H407" s="12" t="s">
        <v>923</v>
      </c>
      <c r="I407" s="18">
        <v>45438</v>
      </c>
      <c r="J407" s="10">
        <v>1</v>
      </c>
      <c r="K407" s="10">
        <v>17079</v>
      </c>
      <c r="L407">
        <v>17079</v>
      </c>
      <c r="M407" s="10">
        <v>17079</v>
      </c>
      <c r="N407">
        <f t="shared" si="7"/>
        <v>17079</v>
      </c>
      <c r="P4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Row],[orderNum]],ТабПозиции[orderSumm])&gt;1500),ABS(N407*VLOOKUP(ТабПозиции[[#This Row],[orderNum]],ТабЗаказы[#Data],MATCH("Percent",ТабЗаказы[#Headers],0),0))/100,200/COUNTIF(ТабПозиции[orderNum],ТабПозиции[[#This Row],[orderNum]])),0),"")</f>
        <v>1708</v>
      </c>
      <c r="Q407">
        <f>IF(OR(ТабПозиции[[#This Row],[item]]="По штрихкоду",ТабПозиции[[#This Row],[item]]="Посылка"),ТабПозиции[[#This Row],[deliverySumm]]+ТабПозиции[[#This Row],[deliveryPost]],SUM(N407:P407))</f>
        <v>1708</v>
      </c>
      <c r="R407" s="41">
        <v>1708</v>
      </c>
      <c r="S407" s="46">
        <f>ТабПозиции[[#This Row],[totalSumm]]-ТабПозиции[[#This Row],[payment]]</f>
        <v>0</v>
      </c>
      <c r="T407" s="18" t="s">
        <v>676</v>
      </c>
      <c r="U407" s="40" t="s">
        <v>545</v>
      </c>
      <c r="V407" s="40" t="s">
        <v>545</v>
      </c>
      <c r="W407" s="40" t="s">
        <v>545</v>
      </c>
      <c r="X407" s="3"/>
      <c r="Y407"/>
    </row>
    <row r="408" spans="1:25" hidden="1" x14ac:dyDescent="0.25">
      <c r="A408" s="10">
        <v>111</v>
      </c>
      <c r="B408" s="1">
        <f>IFERROR(VLOOKUP(ТабПозиции[[#This Row],[orderNum]],ТабЗаказы[#Data],MATCH(B$7,ТабЗаказы[#Headers],0),0),"")</f>
        <v>45432</v>
      </c>
      <c r="C408" t="str">
        <f>MONTH(ТабПозиции[[#This Row],[date]])&amp;"/"&amp;YEAR(ТабПозиции[[#This Row],[date]])</f>
        <v>5/2024</v>
      </c>
      <c r="D408" s="1" t="str">
        <f>IFERROR(VLOOKUP(ТабПозиции[[#This Row],[orderNum]],ТабЗаказы[#Data],MATCH(D$7,ТабЗаказы[#Headers],0),0),"")</f>
        <v/>
      </c>
      <c r="E408" s="1" t="str">
        <f>IFERROR(VLOOKUP(ТабПозиции[[#This Row],[orderNum]],ТабЗаказы[#Data],MATCH(E$7,ТабЗаказы[#Headers],0),0),"")</f>
        <v/>
      </c>
      <c r="F408" s="10" t="s">
        <v>820</v>
      </c>
      <c r="G408" s="40" t="s">
        <v>545</v>
      </c>
      <c r="H408" s="12" t="s">
        <v>924</v>
      </c>
      <c r="I408" s="18">
        <v>45435</v>
      </c>
      <c r="J408" s="10">
        <v>1</v>
      </c>
      <c r="K408" s="10">
        <v>3999</v>
      </c>
      <c r="L408">
        <v>3999</v>
      </c>
      <c r="M408" s="10">
        <v>3999</v>
      </c>
      <c r="N408">
        <f t="shared" si="7"/>
        <v>3999</v>
      </c>
      <c r="P4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Row],[orderNum]],ТабПозиции[orderSumm])&gt;1500),ABS(N408*VLOOKUP(ТабПозиции[[#This Row],[orderNum]],ТабЗаказы[#Data],MATCH("Percent",ТабЗаказы[#Headers],0),0))/100,200/COUNTIF(ТабПозиции[orderNum],ТабПозиции[[#This Row],[orderNum]])),0),"")</f>
        <v>400</v>
      </c>
      <c r="Q408">
        <f>IF(OR(ТабПозиции[[#This Row],[item]]="По штрихкоду",ТабПозиции[[#This Row],[item]]="Посылка"),ТабПозиции[[#This Row],[deliverySumm]]+ТабПозиции[[#This Row],[deliveryPost]],SUM(N408:P408))</f>
        <v>400</v>
      </c>
      <c r="R408" s="41">
        <v>400</v>
      </c>
      <c r="S408" s="46">
        <f>ТабПозиции[[#This Row],[totalSumm]]-ТабПозиции[[#This Row],[payment]]</f>
        <v>0</v>
      </c>
      <c r="T408" s="18" t="s">
        <v>676</v>
      </c>
      <c r="U408" s="40" t="s">
        <v>545</v>
      </c>
      <c r="V408" s="40" t="s">
        <v>545</v>
      </c>
      <c r="W408" s="40" t="s">
        <v>545</v>
      </c>
      <c r="X408" s="3"/>
      <c r="Y408"/>
    </row>
    <row r="409" spans="1:25" hidden="1" x14ac:dyDescent="0.25">
      <c r="A409" s="10">
        <v>111</v>
      </c>
      <c r="B409" s="1">
        <f>IFERROR(VLOOKUP(ТабПозиции[[#This Row],[orderNum]],ТабЗаказы[#Data],MATCH(B$7,ТабЗаказы[#Headers],0),0),"")</f>
        <v>45432</v>
      </c>
      <c r="C409" t="str">
        <f>MONTH(ТабПозиции[[#This Row],[date]])&amp;"/"&amp;YEAR(ТабПозиции[[#This Row],[date]])</f>
        <v>5/2024</v>
      </c>
      <c r="D409" s="1" t="str">
        <f>IFERROR(VLOOKUP(ТабПозиции[[#This Row],[orderNum]],ТабЗаказы[#Data],MATCH(D$7,ТабЗаказы[#Headers],0),0),"")</f>
        <v/>
      </c>
      <c r="E409" s="1" t="str">
        <f>IFERROR(VLOOKUP(ТабПозиции[[#This Row],[orderNum]],ТабЗаказы[#Data],MATCH(E$7,ТабЗаказы[#Headers],0),0),"")</f>
        <v/>
      </c>
      <c r="F409" s="10" t="s">
        <v>820</v>
      </c>
      <c r="G409" s="40" t="s">
        <v>545</v>
      </c>
      <c r="H409" s="12" t="s">
        <v>925</v>
      </c>
      <c r="I409" s="18">
        <v>45433</v>
      </c>
      <c r="J409" s="10">
        <v>1</v>
      </c>
      <c r="K409" s="10">
        <v>1700</v>
      </c>
      <c r="L409">
        <v>1700</v>
      </c>
      <c r="M409" s="10">
        <v>1700</v>
      </c>
      <c r="N409">
        <f t="shared" si="7"/>
        <v>1700</v>
      </c>
      <c r="O409" s="10">
        <v>520</v>
      </c>
      <c r="P4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Row],[orderNum]],ТабПозиции[orderSumm])&gt;1500),ABS(N409*VLOOKUP(ТабПозиции[[#This Row],[orderNum]],ТабЗаказы[#Data],MATCH("Percent",ТабЗаказы[#Headers],0),0))/100,200/COUNTIF(ТабПозиции[orderNum],ТабПозиции[[#This Row],[orderNum]])),0),"")</f>
        <v>170</v>
      </c>
      <c r="Q409">
        <f>IF(OR(ТабПозиции[[#This Row],[item]]="По штрихкоду",ТабПозиции[[#This Row],[item]]="Посылка"),ТабПозиции[[#This Row],[deliverySumm]]+ТабПозиции[[#This Row],[deliveryPost]],SUM(N409:P409))</f>
        <v>690</v>
      </c>
      <c r="R409" s="41">
        <f>1527-837</f>
        <v>690</v>
      </c>
      <c r="S409" s="46">
        <f>ТабПозиции[[#This Row],[totalSumm]]-ТабПозиции[[#This Row],[payment]]</f>
        <v>0</v>
      </c>
      <c r="T409" s="18" t="s">
        <v>615</v>
      </c>
      <c r="U409" s="40" t="s">
        <v>545</v>
      </c>
      <c r="V409" s="40" t="s">
        <v>545</v>
      </c>
      <c r="W409" s="40" t="s">
        <v>545</v>
      </c>
      <c r="X409" s="3"/>
      <c r="Y409"/>
    </row>
    <row r="410" spans="1:25" hidden="1" x14ac:dyDescent="0.25">
      <c r="A410" s="10">
        <v>112</v>
      </c>
      <c r="B410" s="1">
        <f>IFERROR(VLOOKUP(ТабПозиции[[#This Row],[orderNum]],ТабЗаказы[#Data],MATCH(B$7,ТабЗаказы[#Headers],0),0),"")</f>
        <v>45432</v>
      </c>
      <c r="C410" t="str">
        <f>MONTH(ТабПозиции[[#This Row],[date]])&amp;"/"&amp;YEAR(ТабПозиции[[#This Row],[date]])</f>
        <v>5/2024</v>
      </c>
      <c r="D410" s="1" t="str">
        <f>IFERROR(VLOOKUP(ТабПозиции[[#This Row],[orderNum]],ТабЗаказы[#Data],MATCH(D$7,ТабЗаказы[#Headers],0),0),"")</f>
        <v/>
      </c>
      <c r="E410" s="1" t="str">
        <f>IFERROR(VLOOKUP(ТабПозиции[[#This Row],[orderNum]],ТабЗаказы[#Data],MATCH(E$7,ТабЗаказы[#Headers],0),0),"")</f>
        <v/>
      </c>
      <c r="F410" s="16" t="s">
        <v>926</v>
      </c>
      <c r="G410" s="40" t="s">
        <v>545</v>
      </c>
      <c r="I410" s="18">
        <v>45434</v>
      </c>
      <c r="J410" s="10">
        <v>1</v>
      </c>
      <c r="K410" s="10">
        <v>2072</v>
      </c>
      <c r="L410">
        <v>2072</v>
      </c>
      <c r="M410" s="10">
        <v>2177</v>
      </c>
      <c r="N410">
        <f t="shared" si="7"/>
        <v>2177</v>
      </c>
      <c r="P4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Row],[orderNum]],ТабПозиции[orderSumm])&gt;1500),ABS(N410*VLOOKUP(ТабПозиции[[#This Row],[orderNum]],ТабЗаказы[#Data],MATCH("Percent",ТабЗаказы[#Headers],0),0))/100,200/COUNTIF(ТабПозиции[orderNum],ТабПозиции[[#This Row],[orderNum]])),0),"")</f>
        <v>327</v>
      </c>
      <c r="Q410">
        <f>IF(OR(ТабПозиции[[#This Row],[item]]="По штрихкоду",ТабПозиции[[#This Row],[item]]="Посылка"),ТабПозиции[[#This Row],[deliverySumm]]+ТабПозиции[[#This Row],[deliveryPost]],SUM(N410:P410))</f>
        <v>2504</v>
      </c>
      <c r="R410" s="41">
        <v>2504</v>
      </c>
      <c r="S410" s="46">
        <f>ТабПозиции[[#This Row],[totalSumm]]-ТабПозиции[[#This Row],[payment]]</f>
        <v>0</v>
      </c>
      <c r="T410" s="18" t="s">
        <v>580</v>
      </c>
      <c r="U410" s="40" t="s">
        <v>545</v>
      </c>
      <c r="V410" s="40" t="s">
        <v>545</v>
      </c>
      <c r="W410" s="40" t="s">
        <v>545</v>
      </c>
      <c r="X410" s="3"/>
      <c r="Y410"/>
    </row>
    <row r="411" spans="1:25" hidden="1" x14ac:dyDescent="0.25">
      <c r="A411" s="10">
        <v>113</v>
      </c>
      <c r="B411" s="1">
        <f>IFERROR(VLOOKUP(ТабПозиции[[#This Row],[orderNum]],ТабЗаказы[#Data],MATCH(B$7,ТабЗаказы[#Headers],0),0),"")</f>
        <v>45432</v>
      </c>
      <c r="C411" t="str">
        <f>MONTH(ТабПозиции[[#This Row],[date]])&amp;"/"&amp;YEAR(ТабПозиции[[#This Row],[date]])</f>
        <v>5/2024</v>
      </c>
      <c r="D411" s="1" t="str">
        <f>IFERROR(VLOOKUP(ТабПозиции[[#This Row],[orderNum]],ТабЗаказы[#Data],MATCH(D$7,ТабЗаказы[#Headers],0),0),"")</f>
        <v/>
      </c>
      <c r="E411" s="1" t="str">
        <f>IFERROR(VLOOKUP(ТабПозиции[[#This Row],[orderNum]],ТабЗаказы[#Data],MATCH(E$7,ТабЗаказы[#Headers],0),0),"")</f>
        <v/>
      </c>
      <c r="F411" s="16" t="s">
        <v>881</v>
      </c>
      <c r="G411" s="40" t="s">
        <v>545</v>
      </c>
      <c r="I411" s="18">
        <v>45435</v>
      </c>
      <c r="J411" s="10">
        <v>1</v>
      </c>
      <c r="K411" s="10">
        <v>753</v>
      </c>
      <c r="L411">
        <v>753</v>
      </c>
      <c r="M411" s="10">
        <v>777</v>
      </c>
      <c r="N411">
        <f t="shared" si="7"/>
        <v>777</v>
      </c>
      <c r="P4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Row],[orderNum]],ТабПозиции[orderSumm])&gt;1500),ABS(N411*VLOOKUP(ТабПозиции[[#This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411">
        <f>IF(OR(ТабПозиции[[#This Row],[item]]="По штрихкоду",ТабПозиции[[#This Row],[item]]="Посылка"),ТабПозиции[[#This Row],[deliverySumm]]+ТабПозиции[[#This Row],[deliveryPost]],SUM(N411:P411))</f>
        <v>877</v>
      </c>
      <c r="R411" s="41">
        <v>877</v>
      </c>
      <c r="S411" s="46">
        <f>ТабПозиции[[#This Row],[totalSumm]]-ТабПозиции[[#This Row],[payment]]</f>
        <v>0</v>
      </c>
      <c r="T411" s="18" t="s">
        <v>563</v>
      </c>
      <c r="U411" s="40" t="s">
        <v>545</v>
      </c>
      <c r="V411" s="40" t="s">
        <v>545</v>
      </c>
      <c r="W411" s="40" t="s">
        <v>545</v>
      </c>
      <c r="X411" s="3"/>
      <c r="Y411"/>
    </row>
    <row r="412" spans="1:25" hidden="1" x14ac:dyDescent="0.25">
      <c r="A412" s="10">
        <v>113</v>
      </c>
      <c r="B412" s="1">
        <f>IFERROR(VLOOKUP(ТабПозиции[[#This Row],[orderNum]],ТабЗаказы[#Data],MATCH(B$7,ТабЗаказы[#Headers],0),0),"")</f>
        <v>45432</v>
      </c>
      <c r="C412" t="str">
        <f>MONTH(ТабПозиции[[#This Row],[date]])&amp;"/"&amp;YEAR(ТабПозиции[[#This Row],[date]])</f>
        <v>5/2024</v>
      </c>
      <c r="D412" s="1" t="str">
        <f>IFERROR(VLOOKUP(ТабПозиции[[#This Row],[orderNum]],ТабЗаказы[#Data],MATCH(D$7,ТабЗаказы[#Headers],0),0),"")</f>
        <v/>
      </c>
      <c r="E412" s="1" t="str">
        <f>IFERROR(VLOOKUP(ТабПозиции[[#This Row],[orderNum]],ТабЗаказы[#Data],MATCH(E$7,ТабЗаказы[#Headers],0),0),"")</f>
        <v/>
      </c>
      <c r="F412" s="16" t="s">
        <v>927</v>
      </c>
      <c r="G412" s="40" t="s">
        <v>545</v>
      </c>
      <c r="I412" s="18">
        <v>45435</v>
      </c>
      <c r="J412" s="10">
        <v>1</v>
      </c>
      <c r="K412" s="10">
        <v>426</v>
      </c>
      <c r="L412">
        <v>426</v>
      </c>
      <c r="M412" s="10">
        <v>440</v>
      </c>
      <c r="N412">
        <f t="shared" si="7"/>
        <v>440</v>
      </c>
      <c r="P4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Row],[orderNum]],ТабПозиции[orderSumm])&gt;1500),ABS(N412*VLOOKUP(ТабПозиции[[#This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412">
        <f>IF(OR(ТабПозиции[[#This Row],[item]]="По штрихкоду",ТабПозиции[[#This Row],[item]]="Посылка"),ТабПозиции[[#This Row],[deliverySumm]]+ТабПозиции[[#This Row],[deliveryPost]],SUM(N412:P412))</f>
        <v>540</v>
      </c>
      <c r="R412" s="41">
        <v>540</v>
      </c>
      <c r="S412" s="46">
        <f>ТабПозиции[[#This Row],[totalSumm]]-ТабПозиции[[#This Row],[payment]]</f>
        <v>0</v>
      </c>
      <c r="T412" s="18" t="s">
        <v>563</v>
      </c>
      <c r="U412" s="40" t="s">
        <v>545</v>
      </c>
      <c r="V412" s="40" t="s">
        <v>545</v>
      </c>
      <c r="W412" s="40" t="s">
        <v>545</v>
      </c>
      <c r="X412" s="3"/>
      <c r="Y412"/>
    </row>
    <row r="413" spans="1:25" hidden="1" x14ac:dyDescent="0.25">
      <c r="A413" s="10">
        <v>17</v>
      </c>
      <c r="B413" s="1">
        <f>IFERROR(VLOOKUP(ТабПозиции[[#This Row],[orderNum]],ТабЗаказы[#Data],MATCH(B$7,ТабЗаказы[#Headers],0),0),"")</f>
        <v>45434</v>
      </c>
      <c r="C413" t="str">
        <f>MONTH(ТабПозиции[[#This Row],[date]])&amp;"/"&amp;YEAR(ТабПозиции[[#This Row],[date]])</f>
        <v>5/2024</v>
      </c>
      <c r="D413" s="1" t="str">
        <f>IFERROR(VLOOKUP(ТабПозиции[[#This Row],[orderNum]],ТабЗаказы[#Data],MATCH(D$7,ТабЗаказы[#Headers],0),0),"")</f>
        <v/>
      </c>
      <c r="E413" s="1" t="str">
        <f>IFERROR(VLOOKUP(ТабПозиции[[#This Row],[orderNum]],ТабЗаказы[#Data],MATCH(E$7,ТабЗаказы[#Headers],0),0),"")</f>
        <v/>
      </c>
      <c r="F413" s="16" t="s">
        <v>928</v>
      </c>
      <c r="G413" s="40" t="s">
        <v>545</v>
      </c>
      <c r="I413" s="18">
        <v>45442</v>
      </c>
      <c r="J413" s="10">
        <v>1</v>
      </c>
      <c r="K413" s="10">
        <v>1108</v>
      </c>
      <c r="L413">
        <v>1108</v>
      </c>
      <c r="M413" s="10">
        <v>1181</v>
      </c>
      <c r="N413">
        <f t="shared" si="7"/>
        <v>1181</v>
      </c>
      <c r="P4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Row],[orderNum]],ТабПозиции[orderSumm])&gt;1500),ABS(N413*VLOOKUP(ТабПозиции[[#This Row],[orderNum]],ТабЗаказы[#Data],MATCH("Percent",ТабЗаказы[#Headers],0),0))/100,200/COUNTIF(ТабПозиции[orderNum],ТабПозиции[[#This Row],[orderNum]])),0),"")</f>
        <v>177</v>
      </c>
      <c r="Q413">
        <f>IF(OR(ТабПозиции[[#This Row],[item]]="По штрихкоду",ТабПозиции[[#This Row],[item]]="Посылка"),ТабПозиции[[#This Row],[deliverySumm]]+ТабПозиции[[#This Row],[deliveryPost]],SUM(N413:P413))</f>
        <v>1358</v>
      </c>
      <c r="R413" s="41">
        <v>1358</v>
      </c>
      <c r="S413" s="46">
        <f>ТабПозиции[[#This Row],[totalSumm]]-ТабПозиции[[#This Row],[payment]]</f>
        <v>0</v>
      </c>
      <c r="T413" s="18" t="s">
        <v>580</v>
      </c>
      <c r="U413" s="40" t="s">
        <v>545</v>
      </c>
      <c r="V413" s="40" t="s">
        <v>545</v>
      </c>
      <c r="W413" s="40" t="s">
        <v>545</v>
      </c>
      <c r="X413" s="3"/>
      <c r="Y413"/>
    </row>
    <row r="414" spans="1:25" hidden="1" x14ac:dyDescent="0.25">
      <c r="A414" s="10">
        <v>17</v>
      </c>
      <c r="B414" s="1">
        <f>IFERROR(VLOOKUP(ТабПозиции[[#This Row],[orderNum]],ТабЗаказы[#Data],MATCH(B$7,ТабЗаказы[#Headers],0),0),"")</f>
        <v>45434</v>
      </c>
      <c r="C414" t="str">
        <f>MONTH(ТабПозиции[[#This Row],[date]])&amp;"/"&amp;YEAR(ТабПозиции[[#This Row],[date]])</f>
        <v>5/2024</v>
      </c>
      <c r="D414" s="1" t="str">
        <f>IFERROR(VLOOKUP(ТабПозиции[[#This Row],[orderNum]],ТабЗаказы[#Data],MATCH(D$7,ТабЗаказы[#Headers],0),0),"")</f>
        <v/>
      </c>
      <c r="E414" s="1" t="str">
        <f>IFERROR(VLOOKUP(ТабПозиции[[#This Row],[orderNum]],ТабЗаказы[#Data],MATCH(E$7,ТабЗаказы[#Headers],0),0),"")</f>
        <v/>
      </c>
      <c r="F414" s="16" t="s">
        <v>929</v>
      </c>
      <c r="G414" s="40" t="s">
        <v>545</v>
      </c>
      <c r="I414" s="18">
        <v>45437</v>
      </c>
      <c r="K414" s="10">
        <v>354</v>
      </c>
      <c r="L414">
        <v>0</v>
      </c>
      <c r="M414" s="10">
        <v>361</v>
      </c>
      <c r="N414">
        <f t="shared" si="7"/>
        <v>0</v>
      </c>
      <c r="P4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Row],[orderNum]],ТабПозиции[orderSumm])&gt;1500),ABS(N414*VLOOKUP(ТабПозиции[[#This Row],[orderNum]],ТабЗаказы[#Data],MATCH("Percent",ТабЗаказы[#Headers],0),0))/100,200/COUNTIF(ТабПозиции[orderNum],ТабПозиции[[#This Row],[orderNum]])),0),"")</f>
        <v>0</v>
      </c>
      <c r="Q414">
        <f>IF(OR(ТабПозиции[[#This Row],[item]]="По штрихкоду",ТабПозиции[[#This Row],[item]]="Посылка"),ТабПозиции[[#This Row],[deliverySumm]]+ТабПозиции[[#This Row],[deliveryPost]],SUM(N414:P414))</f>
        <v>0</v>
      </c>
      <c r="R414" s="41">
        <v>0</v>
      </c>
      <c r="S414" s="46">
        <f>ТабПозиции[[#This Row],[totalSumm]]-ТабПозиции[[#This Row],[payment]]</f>
        <v>0</v>
      </c>
      <c r="T414" s="18" t="s">
        <v>580</v>
      </c>
      <c r="U414" s="40" t="s">
        <v>545</v>
      </c>
      <c r="V414" s="40" t="s">
        <v>545</v>
      </c>
      <c r="W414" s="40" t="s">
        <v>545</v>
      </c>
      <c r="X414" s="3"/>
      <c r="Y414"/>
    </row>
    <row r="415" spans="1:25" hidden="1" x14ac:dyDescent="0.25">
      <c r="A415" s="10">
        <v>17</v>
      </c>
      <c r="B415" s="1">
        <f>IFERROR(VLOOKUP(ТабПозиции[[#This Row],[orderNum]],ТабЗаказы[#Data],MATCH(B$7,ТабЗаказы[#Headers],0),0),"")</f>
        <v>45434</v>
      </c>
      <c r="C415" t="str">
        <f>MONTH(ТабПозиции[[#This Row],[date]])&amp;"/"&amp;YEAR(ТабПозиции[[#This Row],[date]])</f>
        <v>5/2024</v>
      </c>
      <c r="D415" s="1" t="str">
        <f>IFERROR(VLOOKUP(ТабПозиции[[#This Row],[orderNum]],ТабЗаказы[#Data],MATCH(D$7,ТабЗаказы[#Headers],0),0),"")</f>
        <v/>
      </c>
      <c r="E415" s="1" t="str">
        <f>IFERROR(VLOOKUP(ТабПозиции[[#This Row],[orderNum]],ТабЗаказы[#Data],MATCH(E$7,ТабЗаказы[#Headers],0),0),"")</f>
        <v/>
      </c>
      <c r="F415" s="16" t="s">
        <v>930</v>
      </c>
      <c r="G415" s="40" t="s">
        <v>545</v>
      </c>
      <c r="I415" s="18">
        <v>45439</v>
      </c>
      <c r="J415" s="10">
        <v>1</v>
      </c>
      <c r="K415" s="10">
        <v>445</v>
      </c>
      <c r="L415">
        <v>445</v>
      </c>
      <c r="M415" s="10">
        <v>481</v>
      </c>
      <c r="N415">
        <f t="shared" si="7"/>
        <v>481</v>
      </c>
      <c r="P4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Row],[orderNum]],ТабПозиции[orderSumm])&gt;1500),ABS(N415*VLOOKUP(ТабПозиции[[#This Row],[orderNum]],ТабЗаказы[#Data],MATCH("Percent",ТабЗаказы[#Headers],0),0))/100,200/COUNTIF(ТабПозиции[orderNum],ТабПозиции[[#This Row],[orderNum]])),0),"")</f>
        <v>72</v>
      </c>
      <c r="Q415">
        <f>IF(OR(ТабПозиции[[#This Row],[item]]="По штрихкоду",ТабПозиции[[#This Row],[item]]="Посылка"),ТабПозиции[[#This Row],[deliverySumm]]+ТабПозиции[[#This Row],[deliveryPost]],SUM(N415:P415))</f>
        <v>553</v>
      </c>
      <c r="R415" s="41">
        <v>553</v>
      </c>
      <c r="S415" s="46">
        <f>ТабПозиции[[#This Row],[totalSumm]]-ТабПозиции[[#This Row],[payment]]</f>
        <v>0</v>
      </c>
      <c r="T415" s="18" t="s">
        <v>580</v>
      </c>
      <c r="U415" s="40" t="s">
        <v>545</v>
      </c>
      <c r="V415" s="40" t="s">
        <v>545</v>
      </c>
      <c r="W415" s="40" t="s">
        <v>545</v>
      </c>
      <c r="X415" s="3"/>
      <c r="Y415"/>
    </row>
    <row r="416" spans="1:25" hidden="1" x14ac:dyDescent="0.25">
      <c r="A416" s="10">
        <v>116</v>
      </c>
      <c r="B416" s="1">
        <f>IFERROR(VLOOKUP(ТабПозиции[[#This Row],[orderNum]],ТабЗаказы[#Data],MATCH(B$7,ТабЗаказы[#Headers],0),0),"")</f>
        <v>45436</v>
      </c>
      <c r="C416" t="str">
        <f>MONTH(ТабПозиции[[#This Row],[date]])&amp;"/"&amp;YEAR(ТабПозиции[[#This Row],[date]])</f>
        <v>5/2024</v>
      </c>
      <c r="D416" s="1" t="str">
        <f>IFERROR(VLOOKUP(ТабПозиции[[#This Row],[orderNum]],ТабЗаказы[#Data],MATCH(D$7,ТабЗаказы[#Headers],0),0),"")</f>
        <v/>
      </c>
      <c r="E416" s="1" t="str">
        <f>IFERROR(VLOOKUP(ТабПозиции[[#This Row],[orderNum]],ТабЗаказы[#Data],MATCH(E$7,ТабЗаказы[#Headers],0),0),"")</f>
        <v/>
      </c>
      <c r="F416" s="16" t="s">
        <v>931</v>
      </c>
      <c r="G416" s="40" t="s">
        <v>545</v>
      </c>
      <c r="I416" s="18">
        <v>45438</v>
      </c>
      <c r="J416" s="10">
        <v>1</v>
      </c>
      <c r="K416" s="10">
        <v>963</v>
      </c>
      <c r="L416">
        <v>963</v>
      </c>
      <c r="M416" s="10">
        <v>1045</v>
      </c>
      <c r="N416">
        <f t="shared" si="7"/>
        <v>1045</v>
      </c>
      <c r="P4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Row],[orderNum]],ТабПозиции[orderSumm])&gt;1500),ABS(N416*VLOOKUP(ТабПозиции[[#This Row],[orderNum]],ТабЗаказы[#Data],MATCH("Percent",ТабЗаказы[#Headers],0),0))/100,200/COUNTIF(ТабПозиции[orderNum],ТабПозиции[[#This Row],[orderNum]])),0),"")</f>
        <v>157</v>
      </c>
      <c r="Q416">
        <f>IF(OR(ТабПозиции[[#This Row],[item]]="По штрихкоду",ТабПозиции[[#This Row],[item]]="Посылка"),ТабПозиции[[#This Row],[deliverySumm]]+ТабПозиции[[#This Row],[deliveryPost]],SUM(N416:P416))</f>
        <v>1202</v>
      </c>
      <c r="R416" s="41">
        <v>1202</v>
      </c>
      <c r="S416" s="46">
        <f>ТабПозиции[[#This Row],[totalSumm]]-ТабПозиции[[#This Row],[payment]]</f>
        <v>0</v>
      </c>
      <c r="T416" s="18" t="s">
        <v>580</v>
      </c>
      <c r="U416" s="40" t="s">
        <v>545</v>
      </c>
      <c r="V416" s="40" t="s">
        <v>545</v>
      </c>
      <c r="W416" s="40" t="s">
        <v>545</v>
      </c>
      <c r="X416" s="3"/>
      <c r="Y416"/>
    </row>
    <row r="417" spans="1:25" hidden="1" x14ac:dyDescent="0.25">
      <c r="A417" s="10">
        <v>116</v>
      </c>
      <c r="B417" s="1">
        <f>IFERROR(VLOOKUP(ТабПозиции[[#This Row],[orderNum]],ТабЗаказы[#Data],MATCH(B$7,ТабЗаказы[#Headers],0),0),"")</f>
        <v>45436</v>
      </c>
      <c r="C417" t="str">
        <f>MONTH(ТабПозиции[[#This Row],[date]])&amp;"/"&amp;YEAR(ТабПозиции[[#This Row],[date]])</f>
        <v>5/2024</v>
      </c>
      <c r="D417" s="1" t="str">
        <f>IFERROR(VLOOKUP(ТабПозиции[[#This Row],[orderNum]],ТабЗаказы[#Data],MATCH(D$7,ТабЗаказы[#Headers],0),0),"")</f>
        <v/>
      </c>
      <c r="E417" s="1" t="str">
        <f>IFERROR(VLOOKUP(ТабПозиции[[#This Row],[orderNum]],ТабЗаказы[#Data],MATCH(E$7,ТабЗаказы[#Headers],0),0),"")</f>
        <v/>
      </c>
      <c r="F417" s="16" t="s">
        <v>932</v>
      </c>
      <c r="G417" s="40" t="s">
        <v>545</v>
      </c>
      <c r="I417" s="18">
        <v>45443</v>
      </c>
      <c r="J417" s="10">
        <v>1</v>
      </c>
      <c r="K417" s="10">
        <v>519</v>
      </c>
      <c r="L417">
        <v>519</v>
      </c>
      <c r="M417" s="10">
        <v>563</v>
      </c>
      <c r="N417">
        <f t="shared" ref="N417:N480" si="8">M417*J417</f>
        <v>563</v>
      </c>
      <c r="P4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Row],[orderNum]],ТабПозиции[orderSumm])&gt;1500),ABS(N417*VLOOKUP(ТабПозиции[[#This Row],[orderNum]],ТабЗаказы[#Data],MATCH("Percent",ТабЗаказы[#Headers],0),0))/100,200/COUNTIF(ТабПозиции[orderNum],ТабПозиции[[#This Row],[orderNum]])),0),"")</f>
        <v>84</v>
      </c>
      <c r="Q417">
        <f>IF(OR(ТабПозиции[[#This Row],[item]]="По штрихкоду",ТабПозиции[[#This Row],[item]]="Посылка"),ТабПозиции[[#This Row],[deliverySumm]]+ТабПозиции[[#This Row],[deliveryPost]],SUM(N417:P417))</f>
        <v>647</v>
      </c>
      <c r="R417" s="41">
        <v>647</v>
      </c>
      <c r="S417" s="46">
        <f>ТабПозиции[[#This Row],[totalSumm]]-ТабПозиции[[#This Row],[payment]]</f>
        <v>0</v>
      </c>
      <c r="T417" s="18" t="s">
        <v>580</v>
      </c>
      <c r="U417" s="40" t="s">
        <v>545</v>
      </c>
      <c r="V417" s="40" t="s">
        <v>545</v>
      </c>
      <c r="W417" s="40" t="s">
        <v>545</v>
      </c>
      <c r="X417" s="3"/>
      <c r="Y417"/>
    </row>
    <row r="418" spans="1:25" hidden="1" x14ac:dyDescent="0.25">
      <c r="A418" s="10">
        <v>116</v>
      </c>
      <c r="B418" s="1">
        <f>IFERROR(VLOOKUP(ТабПозиции[[#This Row],[orderNum]],ТабЗаказы[#Data],MATCH(B$7,ТабЗаказы[#Headers],0),0),"")</f>
        <v>45436</v>
      </c>
      <c r="C418" t="str">
        <f>MONTH(ТабПозиции[[#This Row],[date]])&amp;"/"&amp;YEAR(ТабПозиции[[#This Row],[date]])</f>
        <v>5/2024</v>
      </c>
      <c r="D418" s="1" t="str">
        <f>IFERROR(VLOOKUP(ТабПозиции[[#This Row],[orderNum]],ТабЗаказы[#Data],MATCH(D$7,ТабЗаказы[#Headers],0),0),"")</f>
        <v/>
      </c>
      <c r="E418" s="1" t="str">
        <f>IFERROR(VLOOKUP(ТабПозиции[[#This Row],[orderNum]],ТабЗаказы[#Data],MATCH(E$7,ТабЗаказы[#Headers],0),0),"")</f>
        <v/>
      </c>
      <c r="F418" s="16" t="s">
        <v>933</v>
      </c>
      <c r="G418" s="40" t="s">
        <v>545</v>
      </c>
      <c r="I418" s="18">
        <v>45443</v>
      </c>
      <c r="J418" s="10">
        <v>1</v>
      </c>
      <c r="K418" s="10">
        <v>685</v>
      </c>
      <c r="L418">
        <v>685</v>
      </c>
      <c r="M418" s="10">
        <v>742</v>
      </c>
      <c r="N418">
        <f t="shared" si="8"/>
        <v>742</v>
      </c>
      <c r="P4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Row],[orderNum]],ТабПозиции[orderSumm])&gt;1500),ABS(N418*VLOOKUP(ТабПозиции[[#This Row],[orderNum]],ТабЗаказы[#Data],MATCH("Percent",ТабЗаказы[#Headers],0),0))/100,200/COUNTIF(ТабПозиции[orderNum],ТабПозиции[[#This Row],[orderNum]])),0),"")</f>
        <v>111</v>
      </c>
      <c r="Q418">
        <f>IF(OR(ТабПозиции[[#This Row],[item]]="По штрихкоду",ТабПозиции[[#This Row],[item]]="Посылка"),ТабПозиции[[#This Row],[deliverySumm]]+ТабПозиции[[#This Row],[deliveryPost]],SUM(N418:P418))</f>
        <v>853</v>
      </c>
      <c r="R418" s="41">
        <v>853</v>
      </c>
      <c r="S418" s="46">
        <f>ТабПозиции[[#This Row],[totalSumm]]-ТабПозиции[[#This Row],[payment]]</f>
        <v>0</v>
      </c>
      <c r="T418" s="18" t="s">
        <v>580</v>
      </c>
      <c r="U418" s="40" t="s">
        <v>545</v>
      </c>
      <c r="V418" s="40" t="s">
        <v>545</v>
      </c>
      <c r="W418" s="40" t="s">
        <v>545</v>
      </c>
      <c r="X418" s="3"/>
      <c r="Y418"/>
    </row>
    <row r="419" spans="1:25" hidden="1" x14ac:dyDescent="0.25">
      <c r="A419" s="10">
        <v>116</v>
      </c>
      <c r="B419" s="1">
        <f>IFERROR(VLOOKUP(ТабПозиции[[#This Row],[orderNum]],ТабЗаказы[#Data],MATCH(B$7,ТабЗаказы[#Headers],0),0),"")</f>
        <v>45436</v>
      </c>
      <c r="C419" t="str">
        <f>MONTH(ТабПозиции[[#This Row],[date]])&amp;"/"&amp;YEAR(ТабПозиции[[#This Row],[date]])</f>
        <v>5/2024</v>
      </c>
      <c r="D419" s="1" t="str">
        <f>IFERROR(VLOOKUP(ТабПозиции[[#This Row],[orderNum]],ТабЗаказы[#Data],MATCH(D$7,ТабЗаказы[#Headers],0),0),"")</f>
        <v/>
      </c>
      <c r="E419" s="1" t="str">
        <f>IFERROR(VLOOKUP(ТабПозиции[[#This Row],[orderNum]],ТабЗаказы[#Data],MATCH(E$7,ТабЗаказы[#Headers],0),0),"")</f>
        <v/>
      </c>
      <c r="F419" s="16" t="s">
        <v>934</v>
      </c>
      <c r="G419" s="40" t="s">
        <v>545</v>
      </c>
      <c r="I419" s="18">
        <v>45440</v>
      </c>
      <c r="J419" s="10">
        <v>1</v>
      </c>
      <c r="K419" s="10">
        <v>783</v>
      </c>
      <c r="L419">
        <v>783</v>
      </c>
      <c r="M419" s="10">
        <v>848</v>
      </c>
      <c r="N419">
        <f t="shared" si="8"/>
        <v>848</v>
      </c>
      <c r="P4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Row],[orderNum]],ТабПозиции[orderSumm])&gt;1500),ABS(N419*VLOOKUP(ТабПозиции[[#This Row],[orderNum]],ТабЗаказы[#Data],MATCH("Percent",ТабЗаказы[#Headers],0),0))/100,200/COUNTIF(ТабПозиции[orderNum],ТабПозиции[[#This Row],[orderNum]])),0),"")</f>
        <v>127</v>
      </c>
      <c r="Q419">
        <f>IF(OR(ТабПозиции[[#This Row],[item]]="По штрихкоду",ТабПозиции[[#This Row],[item]]="Посылка"),ТабПозиции[[#This Row],[deliverySumm]]+ТабПозиции[[#This Row],[deliveryPost]],SUM(N419:P419))</f>
        <v>975</v>
      </c>
      <c r="R419" s="41">
        <v>975</v>
      </c>
      <c r="S419" s="46">
        <f>ТабПозиции[[#This Row],[totalSumm]]-ТабПозиции[[#This Row],[payment]]</f>
        <v>0</v>
      </c>
      <c r="T419" s="18" t="s">
        <v>580</v>
      </c>
      <c r="U419" s="40" t="s">
        <v>545</v>
      </c>
      <c r="V419" s="40" t="s">
        <v>545</v>
      </c>
      <c r="W419" s="40" t="s">
        <v>545</v>
      </c>
      <c r="X419" s="3"/>
      <c r="Y419"/>
    </row>
    <row r="420" spans="1:25" hidden="1" x14ac:dyDescent="0.25">
      <c r="A420" s="10">
        <v>116</v>
      </c>
      <c r="B420" s="1">
        <f>IFERROR(VLOOKUP(ТабПозиции[[#This Row],[orderNum]],ТабЗаказы[#Data],MATCH(B$7,ТабЗаказы[#Headers],0),0),"")</f>
        <v>45436</v>
      </c>
      <c r="C420" t="str">
        <f>MONTH(ТабПозиции[[#This Row],[date]])&amp;"/"&amp;YEAR(ТабПозиции[[#This Row],[date]])</f>
        <v>5/2024</v>
      </c>
      <c r="D420" s="1" t="str">
        <f>IFERROR(VLOOKUP(ТабПозиции[[#This Row],[orderNum]],ТабЗаказы[#Data],MATCH(D$7,ТабЗаказы[#Headers],0),0),"")</f>
        <v/>
      </c>
      <c r="E420" s="1" t="str">
        <f>IFERROR(VLOOKUP(ТабПозиции[[#This Row],[orderNum]],ТабЗаказы[#Data],MATCH(E$7,ТабЗаказы[#Headers],0),0),"")</f>
        <v/>
      </c>
      <c r="F420" s="16" t="s">
        <v>935</v>
      </c>
      <c r="G420" s="40" t="s">
        <v>545</v>
      </c>
      <c r="I420" s="18">
        <v>45443</v>
      </c>
      <c r="J420" s="10">
        <v>1</v>
      </c>
      <c r="K420" s="10">
        <v>2275</v>
      </c>
      <c r="L420">
        <v>2275</v>
      </c>
      <c r="M420" s="10">
        <v>2437</v>
      </c>
      <c r="N420">
        <f t="shared" si="8"/>
        <v>2437</v>
      </c>
      <c r="P4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Row],[orderNum]],ТабПозиции[orderSumm])&gt;1500),ABS(N420*VLOOKUP(ТабПозиции[[#This Row],[orderNum]],ТабЗаказы[#Data],MATCH("Percent",ТабЗаказы[#Headers],0),0))/100,200/COUNTIF(ТабПозиции[orderNum],ТабПозиции[[#This Row],[orderNum]])),0),"")</f>
        <v>366</v>
      </c>
      <c r="Q420">
        <f>IF(OR(ТабПозиции[[#This Row],[item]]="По штрихкоду",ТабПозиции[[#This Row],[item]]="Посылка"),ТабПозиции[[#This Row],[deliverySumm]]+ТабПозиции[[#This Row],[deliveryPost]],SUM(N420:P420))</f>
        <v>2803</v>
      </c>
      <c r="R420" s="41">
        <v>2803</v>
      </c>
      <c r="S420" s="46">
        <f>ТабПозиции[[#This Row],[totalSumm]]-ТабПозиции[[#This Row],[payment]]</f>
        <v>0</v>
      </c>
      <c r="T420" s="18" t="s">
        <v>580</v>
      </c>
      <c r="U420" s="40" t="s">
        <v>545</v>
      </c>
      <c r="V420" s="40" t="s">
        <v>545</v>
      </c>
      <c r="W420" s="40" t="s">
        <v>545</v>
      </c>
      <c r="X420" s="3"/>
      <c r="Y420"/>
    </row>
    <row r="421" spans="1:25" hidden="1" x14ac:dyDescent="0.25">
      <c r="A421" s="10">
        <v>116</v>
      </c>
      <c r="B421" s="1">
        <f>IFERROR(VLOOKUP(ТабПозиции[[#This Row],[orderNum]],ТабЗаказы[#Data],MATCH(B$7,ТабЗаказы[#Headers],0),0),"")</f>
        <v>45436</v>
      </c>
      <c r="C421" t="str">
        <f>MONTH(ТабПозиции[[#This Row],[date]])&amp;"/"&amp;YEAR(ТабПозиции[[#This Row],[date]])</f>
        <v>5/2024</v>
      </c>
      <c r="D421" s="1" t="str">
        <f>IFERROR(VLOOKUP(ТабПозиции[[#This Row],[orderNum]],ТабЗаказы[#Data],MATCH(D$7,ТабЗаказы[#Headers],0),0),"")</f>
        <v/>
      </c>
      <c r="E421" s="1" t="str">
        <f>IFERROR(VLOOKUP(ТабПозиции[[#This Row],[orderNum]],ТабЗаказы[#Data],MATCH(E$7,ТабЗаказы[#Headers],0),0),"")</f>
        <v/>
      </c>
      <c r="F421" s="16" t="s">
        <v>936</v>
      </c>
      <c r="G421" s="40" t="s">
        <v>545</v>
      </c>
      <c r="I421" s="18">
        <v>45437</v>
      </c>
      <c r="J421" s="10">
        <v>1</v>
      </c>
      <c r="K421" s="10">
        <v>250</v>
      </c>
      <c r="L421">
        <v>250</v>
      </c>
      <c r="M421" s="10">
        <v>255</v>
      </c>
      <c r="N421">
        <f t="shared" si="8"/>
        <v>255</v>
      </c>
      <c r="P4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Row],[orderNum]],ТабПозиции[orderSumm])&gt;1500),ABS(N421*VLOOKUP(ТабПозиции[[#This Row],[orderNum]],ТабЗаказы[#Data],MATCH("Percent",ТабЗаказы[#Headers],0),0))/100,200/COUNTIF(ТабПозиции[orderNum],ТабПозиции[[#This Row],[orderNum]])),0),"")</f>
        <v>38</v>
      </c>
      <c r="Q421">
        <f>IF(OR(ТабПозиции[[#This Row],[item]]="По штрихкоду",ТабПозиции[[#This Row],[item]]="Посылка"),ТабПозиции[[#This Row],[deliverySumm]]+ТабПозиции[[#This Row],[deliveryPost]],SUM(N421:P421))</f>
        <v>293</v>
      </c>
      <c r="R421" s="41">
        <v>293</v>
      </c>
      <c r="S421" s="46">
        <f>ТабПозиции[[#This Row],[totalSumm]]-ТабПозиции[[#This Row],[payment]]</f>
        <v>0</v>
      </c>
      <c r="T421" s="18" t="s">
        <v>580</v>
      </c>
      <c r="U421" s="40" t="s">
        <v>545</v>
      </c>
      <c r="V421" s="40" t="s">
        <v>545</v>
      </c>
      <c r="W421" s="40" t="s">
        <v>545</v>
      </c>
      <c r="X421" s="3"/>
      <c r="Y421"/>
    </row>
    <row r="422" spans="1:25" hidden="1" x14ac:dyDescent="0.25">
      <c r="A422" s="10">
        <v>20</v>
      </c>
      <c r="B422" s="1">
        <f>IFERROR(VLOOKUP(ТабПозиции[[#This Row],[orderNum]],ТабЗаказы[#Data],MATCH(B$7,ТабЗаказы[#Headers],0),0),"")</f>
        <v>45436</v>
      </c>
      <c r="C422" t="str">
        <f>MONTH(ТабПозиции[[#This Row],[date]])&amp;"/"&amp;YEAR(ТабПозиции[[#This Row],[date]])</f>
        <v>5/2024</v>
      </c>
      <c r="D422" s="1" t="str">
        <f>IFERROR(VLOOKUP(ТабПозиции[[#This Row],[orderNum]],ТабЗаказы[#Data],MATCH(D$7,ТабЗаказы[#Headers],0),0),"")</f>
        <v/>
      </c>
      <c r="E422" s="1" t="str">
        <f>IFERROR(VLOOKUP(ТабПозиции[[#This Row],[orderNum]],ТабЗаказы[#Data],MATCH(E$7,ТабЗаказы[#Headers],0),0),"")</f>
        <v/>
      </c>
      <c r="F422" s="16" t="s">
        <v>937</v>
      </c>
      <c r="G422" s="40" t="s">
        <v>545</v>
      </c>
      <c r="I422" s="18">
        <v>45439</v>
      </c>
      <c r="J422" s="10">
        <v>1</v>
      </c>
      <c r="K422" s="10">
        <v>2658</v>
      </c>
      <c r="L422">
        <v>2658</v>
      </c>
      <c r="M422" s="10">
        <v>2798</v>
      </c>
      <c r="N422">
        <f t="shared" si="8"/>
        <v>2798</v>
      </c>
      <c r="P4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Row],[orderNum]],ТабПозиции[orderSumm])&gt;1500),ABS(N422*VLOOKUP(ТабПозиции[[#This Row],[orderNum]],ТабЗаказы[#Data],MATCH("Percent",ТабЗаказы[#Headers],0),0))/100,200/COUNTIF(ТабПозиции[orderNum],ТабПозиции[[#This Row],[orderNum]])),0),"")</f>
        <v>420</v>
      </c>
      <c r="Q422">
        <f>IF(OR(ТабПозиции[[#This Row],[item]]="По штрихкоду",ТабПозиции[[#This Row],[item]]="Посылка"),ТабПозиции[[#This Row],[deliverySumm]]+ТабПозиции[[#This Row],[deliveryPost]],SUM(N422:P422))</f>
        <v>3218</v>
      </c>
      <c r="R422" s="41">
        <v>3218</v>
      </c>
      <c r="S422" s="46">
        <f>ТабПозиции[[#This Row],[totalSumm]]-ТабПозиции[[#This Row],[payment]]</f>
        <v>0</v>
      </c>
      <c r="T422" s="18" t="s">
        <v>563</v>
      </c>
      <c r="U422" s="40" t="s">
        <v>545</v>
      </c>
      <c r="V422" s="40" t="s">
        <v>545</v>
      </c>
      <c r="W422" s="40" t="s">
        <v>545</v>
      </c>
      <c r="X422" s="3"/>
      <c r="Y422"/>
    </row>
    <row r="423" spans="1:25" hidden="1" x14ac:dyDescent="0.25">
      <c r="A423" s="10">
        <v>20</v>
      </c>
      <c r="B423" s="1">
        <f>IFERROR(VLOOKUP(ТабПозиции[[#This Row],[orderNum]],ТабЗаказы[#Data],MATCH(B$7,ТабЗаказы[#Headers],0),0),"")</f>
        <v>45436</v>
      </c>
      <c r="C423" t="str">
        <f>MONTH(ТабПозиции[[#This Row],[date]])&amp;"/"&amp;YEAR(ТабПозиции[[#This Row],[date]])</f>
        <v>5/2024</v>
      </c>
      <c r="D423" s="1" t="str">
        <f>IFERROR(VLOOKUP(ТабПозиции[[#This Row],[orderNum]],ТабЗаказы[#Data],MATCH(D$7,ТабЗаказы[#Headers],0),0),"")</f>
        <v/>
      </c>
      <c r="E423" s="1" t="str">
        <f>IFERROR(VLOOKUP(ТабПозиции[[#This Row],[orderNum]],ТабЗаказы[#Data],MATCH(E$7,ТабЗаказы[#Headers],0),0),"")</f>
        <v/>
      </c>
      <c r="F423" s="16" t="s">
        <v>938</v>
      </c>
      <c r="G423" s="40" t="s">
        <v>545</v>
      </c>
      <c r="I423" s="18">
        <v>45440</v>
      </c>
      <c r="J423" s="10">
        <v>1</v>
      </c>
      <c r="K423" s="10">
        <v>2629</v>
      </c>
      <c r="L423">
        <v>2629</v>
      </c>
      <c r="M423" s="10">
        <v>2768</v>
      </c>
      <c r="N423">
        <f t="shared" si="8"/>
        <v>2768</v>
      </c>
      <c r="P4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Row],[orderNum]],ТабПозиции[orderSumm])&gt;1500),ABS(N423*VLOOKUP(ТабПозиции[[#This Row],[orderNum]],ТабЗаказы[#Data],MATCH("Percent",ТабЗаказы[#Headers],0),0))/100,200/COUNTIF(ТабПозиции[orderNum],ТабПозиции[[#This Row],[orderNum]])),0),"")</f>
        <v>415</v>
      </c>
      <c r="Q423">
        <f>IF(OR(ТабПозиции[[#This Row],[item]]="По штрихкоду",ТабПозиции[[#This Row],[item]]="Посылка"),ТабПозиции[[#This Row],[deliverySumm]]+ТабПозиции[[#This Row],[deliveryPost]],SUM(N423:P423))</f>
        <v>3183</v>
      </c>
      <c r="R423" s="41">
        <v>3183</v>
      </c>
      <c r="S423" s="46">
        <f>ТабПозиции[[#This Row],[totalSumm]]-ТабПозиции[[#This Row],[payment]]</f>
        <v>0</v>
      </c>
      <c r="T423" s="18" t="s">
        <v>563</v>
      </c>
      <c r="U423" s="40" t="s">
        <v>545</v>
      </c>
      <c r="V423" s="40" t="s">
        <v>545</v>
      </c>
      <c r="W423" s="40" t="s">
        <v>545</v>
      </c>
      <c r="X423" s="3"/>
      <c r="Y423"/>
    </row>
    <row r="424" spans="1:25" hidden="1" x14ac:dyDescent="0.25">
      <c r="A424" s="10">
        <v>25</v>
      </c>
      <c r="B424" s="1">
        <f>IFERROR(VLOOKUP(ТабПозиции[[#This Row],[orderNum]],ТабЗаказы[#Data],MATCH(B$7,ТабЗаказы[#Headers],0),0),"")</f>
        <v>45376</v>
      </c>
      <c r="C424" t="str">
        <f>MONTH(ТабПозиции[[#This Row],[date]])&amp;"/"&amp;YEAR(ТабПозиции[[#This Row],[date]])</f>
        <v>3/2024</v>
      </c>
      <c r="D424" s="1" t="str">
        <f>IFERROR(VLOOKUP(ТабПозиции[[#This Row],[orderNum]],ТабЗаказы[#Data],MATCH(D$7,ТабЗаказы[#Headers],0),0),"")</f>
        <v/>
      </c>
      <c r="E424" s="1" t="str">
        <f>IFERROR(VLOOKUP(ТабПозиции[[#This Row],[orderNum]],ТабЗаказы[#Data],MATCH(E$7,ТабЗаказы[#Headers],0),0),"")</f>
        <v/>
      </c>
      <c r="F424" s="16" t="s">
        <v>939</v>
      </c>
      <c r="G424" s="40" t="s">
        <v>545</v>
      </c>
      <c r="I424" s="18">
        <v>45440</v>
      </c>
      <c r="J424" s="10">
        <v>1</v>
      </c>
      <c r="K424" s="10">
        <v>252</v>
      </c>
      <c r="L424">
        <v>252</v>
      </c>
      <c r="M424" s="10">
        <v>266</v>
      </c>
      <c r="N424">
        <f t="shared" si="8"/>
        <v>266</v>
      </c>
      <c r="P4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Row],[orderNum]],ТабПозиции[orderSumm])&gt;1500),ABS(N424*VLOOKUP(ТабПозиции[[#This Row],[orderNum]],ТабЗаказы[#Data],MATCH("Percent",ТабЗаказы[#Headers],0),0))/100,200/COUNTIF(ТабПозиции[orderNum],ТабПозиции[[#This Row],[orderNum]])),0),"")</f>
        <v>40</v>
      </c>
      <c r="Q424">
        <f>IF(OR(ТабПозиции[[#This Row],[item]]="По штрихкоду",ТабПозиции[[#This Row],[item]]="Посылка"),ТабПозиции[[#This Row],[deliverySumm]]+ТабПозиции[[#This Row],[deliveryPost]],SUM(N424:P424))</f>
        <v>306</v>
      </c>
      <c r="R424" s="41">
        <v>306</v>
      </c>
      <c r="S424" s="46">
        <f>ТабПозиции[[#This Row],[totalSumm]]-ТабПозиции[[#This Row],[payment]]</f>
        <v>0</v>
      </c>
      <c r="T424" s="18" t="s">
        <v>563</v>
      </c>
      <c r="U424" s="40" t="s">
        <v>552</v>
      </c>
      <c r="V424" s="40" t="s">
        <v>545</v>
      </c>
      <c r="W424" s="40" t="s">
        <v>545</v>
      </c>
      <c r="X424" s="3"/>
      <c r="Y424"/>
    </row>
    <row r="425" spans="1:25" hidden="1" x14ac:dyDescent="0.25">
      <c r="A425" s="10">
        <v>25</v>
      </c>
      <c r="B425" s="1">
        <f>IFERROR(VLOOKUP(ТабПозиции[[#This Row],[orderNum]],ТабЗаказы[#Data],MATCH(B$7,ТабЗаказы[#Headers],0),0),"")</f>
        <v>45376</v>
      </c>
      <c r="C425" t="str">
        <f>MONTH(ТабПозиции[[#This Row],[date]])&amp;"/"&amp;YEAR(ТабПозиции[[#This Row],[date]])</f>
        <v>3/2024</v>
      </c>
      <c r="D425" s="1" t="str">
        <f>IFERROR(VLOOKUP(ТабПозиции[[#This Row],[orderNum]],ТабЗаказы[#Data],MATCH(D$7,ТабЗаказы[#Headers],0),0),"")</f>
        <v/>
      </c>
      <c r="E425" s="1" t="str">
        <f>IFERROR(VLOOKUP(ТабПозиции[[#This Row],[orderNum]],ТабЗаказы[#Data],MATCH(E$7,ТабЗаказы[#Headers],0),0),"")</f>
        <v/>
      </c>
      <c r="F425" s="16" t="s">
        <v>685</v>
      </c>
      <c r="G425" s="40" t="s">
        <v>545</v>
      </c>
      <c r="I425" s="18">
        <v>45439</v>
      </c>
      <c r="J425" s="10">
        <v>1</v>
      </c>
      <c r="K425" s="10">
        <v>171</v>
      </c>
      <c r="L425">
        <v>171</v>
      </c>
      <c r="M425" s="10">
        <v>180</v>
      </c>
      <c r="N425">
        <f t="shared" si="8"/>
        <v>180</v>
      </c>
      <c r="P4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Row],[orderNum]],ТабПозиции[orderSumm])&gt;1500),ABS(N425*VLOOKUP(ТабПозиции[[#This Row],[orderNum]],ТабЗаказы[#Data],MATCH("Percent",ТабЗаказы[#Headers],0),0))/100,200/COUNTIF(ТабПозиции[orderNum],ТабПозиции[[#This Row],[orderNum]])),0),"")</f>
        <v>27</v>
      </c>
      <c r="Q425">
        <f>IF(OR(ТабПозиции[[#This Row],[item]]="По штрихкоду",ТабПозиции[[#This Row],[item]]="Посылка"),ТабПозиции[[#This Row],[deliverySumm]]+ТабПозиции[[#This Row],[deliveryPost]],SUM(N425:P425))</f>
        <v>207</v>
      </c>
      <c r="R425" s="41">
        <v>207</v>
      </c>
      <c r="S425" s="46">
        <f>ТабПозиции[[#This Row],[totalSumm]]-ТабПозиции[[#This Row],[payment]]</f>
        <v>0</v>
      </c>
      <c r="T425" s="18" t="s">
        <v>563</v>
      </c>
      <c r="U425" s="40" t="s">
        <v>552</v>
      </c>
      <c r="V425" s="40" t="s">
        <v>545</v>
      </c>
      <c r="W425" s="40" t="s">
        <v>545</v>
      </c>
      <c r="X425" s="3"/>
      <c r="Y425"/>
    </row>
    <row r="426" spans="1:25" hidden="1" x14ac:dyDescent="0.25">
      <c r="A426" s="10">
        <v>25</v>
      </c>
      <c r="B426" s="1">
        <f>IFERROR(VLOOKUP(ТабПозиции[[#This Row],[orderNum]],ТабЗаказы[#Data],MATCH(B$7,ТабЗаказы[#Headers],0),0),"")</f>
        <v>45376</v>
      </c>
      <c r="C426" t="str">
        <f>MONTH(ТабПозиции[[#This Row],[date]])&amp;"/"&amp;YEAR(ТабПозиции[[#This Row],[date]])</f>
        <v>3/2024</v>
      </c>
      <c r="D426" s="1" t="str">
        <f>IFERROR(VLOOKUP(ТабПозиции[[#This Row],[orderNum]],ТабЗаказы[#Data],MATCH(D$7,ТабЗаказы[#Headers],0),0),"")</f>
        <v/>
      </c>
      <c r="E426" s="1" t="str">
        <f>IFERROR(VLOOKUP(ТабПозиции[[#This Row],[orderNum]],ТабЗаказы[#Data],MATCH(E$7,ТабЗаказы[#Headers],0),0),"")</f>
        <v/>
      </c>
      <c r="F426" s="16" t="s">
        <v>940</v>
      </c>
      <c r="G426" s="40" t="s">
        <v>545</v>
      </c>
      <c r="I426" s="18">
        <v>45445</v>
      </c>
      <c r="J426" s="10">
        <v>1</v>
      </c>
      <c r="K426" s="10">
        <v>1110</v>
      </c>
      <c r="L426">
        <v>1110</v>
      </c>
      <c r="M426" s="10">
        <v>1203</v>
      </c>
      <c r="N426">
        <f t="shared" si="8"/>
        <v>1203</v>
      </c>
      <c r="P4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Row],[orderNum]],ТабПозиции[orderSumm])&gt;1500),ABS(N426*VLOOKUP(ТабПозиции[[#This Row],[orderNum]],ТабЗаказы[#Data],MATCH("Percent",ТабЗаказы[#Headers],0),0))/100,200/COUNTIF(ТабПозиции[orderNum],ТабПозиции[[#This Row],[orderNum]])),0),"")</f>
        <v>180</v>
      </c>
      <c r="Q426">
        <f>IF(OR(ТабПозиции[[#This Row],[item]]="По штрихкоду",ТабПозиции[[#This Row],[item]]="Посылка"),ТабПозиции[[#This Row],[deliverySumm]]+ТабПозиции[[#This Row],[deliveryPost]],SUM(N426:P426))</f>
        <v>1383</v>
      </c>
      <c r="R426" s="41">
        <v>1383</v>
      </c>
      <c r="S426" s="46">
        <f>ТабПозиции[[#This Row],[totalSumm]]-ТабПозиции[[#This Row],[payment]]</f>
        <v>0</v>
      </c>
      <c r="T426" s="18" t="s">
        <v>580</v>
      </c>
      <c r="U426" s="40" t="s">
        <v>552</v>
      </c>
      <c r="V426" s="40" t="s">
        <v>545</v>
      </c>
      <c r="W426" s="40" t="s">
        <v>545</v>
      </c>
      <c r="X426" s="3"/>
      <c r="Y426"/>
    </row>
    <row r="427" spans="1:25" hidden="1" x14ac:dyDescent="0.25">
      <c r="A427" s="10">
        <v>43</v>
      </c>
      <c r="B427" s="1">
        <f>IFERROR(VLOOKUP(ТабПозиции[[#This Row],[orderNum]],ТабЗаказы[#Data],MATCH(B$7,ТабЗаказы[#Headers],0),0),"")</f>
        <v>45383</v>
      </c>
      <c r="C427" t="str">
        <f>MONTH(ТабПозиции[[#This Row],[date]])&amp;"/"&amp;YEAR(ТабПозиции[[#This Row],[date]])</f>
        <v>4/2024</v>
      </c>
      <c r="D427" s="1" t="str">
        <f>IFERROR(VLOOKUP(ТабПозиции[[#This Row],[orderNum]],ТабЗаказы[#Data],MATCH(D$7,ТабЗаказы[#Headers],0),0),"")</f>
        <v/>
      </c>
      <c r="E427" s="1" t="str">
        <f>IFERROR(VLOOKUP(ТабПозиции[[#This Row],[orderNum]],ТабЗаказы[#Data],MATCH(E$7,ТабЗаказы[#Headers],0),0),"")</f>
        <v/>
      </c>
      <c r="F427" s="16" t="s">
        <v>941</v>
      </c>
      <c r="G427" s="40" t="s">
        <v>545</v>
      </c>
      <c r="I427" s="18">
        <v>45443</v>
      </c>
      <c r="J427" s="10">
        <v>2</v>
      </c>
      <c r="K427" s="10">
        <v>392</v>
      </c>
      <c r="L427">
        <v>784</v>
      </c>
      <c r="M427" s="10">
        <v>400</v>
      </c>
      <c r="N427">
        <f t="shared" si="8"/>
        <v>800</v>
      </c>
      <c r="P4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Row],[orderNum]],ТабПозиции[orderSumm])&gt;1500),ABS(N427*VLOOKUP(ТабПозиции[[#This Row],[orderNum]],ТабЗаказы[#Data],MATCH("Percent",ТабЗаказы[#Headers],0),0))/100,200/COUNTIF(ТабПозиции[orderNum],ТабПозиции[[#This Row],[orderNum]])),0),"")</f>
        <v>120</v>
      </c>
      <c r="Q427">
        <f>IF(OR(ТабПозиции[[#This Row],[item]]="По штрихкоду",ТабПозиции[[#This Row],[item]]="Посылка"),ТабПозиции[[#This Row],[deliverySumm]]+ТабПозиции[[#This Row],[deliveryPost]],SUM(N427:P427))</f>
        <v>920</v>
      </c>
      <c r="R427" s="41">
        <v>920</v>
      </c>
      <c r="S427" s="46">
        <f>ТабПозиции[[#This Row],[totalSumm]]-ТабПозиции[[#This Row],[payment]]</f>
        <v>0</v>
      </c>
      <c r="T427" s="18" t="s">
        <v>580</v>
      </c>
      <c r="U427" s="40" t="s">
        <v>552</v>
      </c>
      <c r="V427" s="40" t="s">
        <v>552</v>
      </c>
      <c r="W427" s="40" t="s">
        <v>545</v>
      </c>
      <c r="X427" s="3"/>
      <c r="Y427"/>
    </row>
    <row r="428" spans="1:25" hidden="1" x14ac:dyDescent="0.25">
      <c r="A428" s="10">
        <v>43</v>
      </c>
      <c r="B428" s="1">
        <f>IFERROR(VLOOKUP(ТабПозиции[[#This Row],[orderNum]],ТабЗаказы[#Data],MATCH(B$7,ТабЗаказы[#Headers],0),0),"")</f>
        <v>45383</v>
      </c>
      <c r="C428" t="str">
        <f>MONTH(ТабПозиции[[#This Row],[date]])&amp;"/"&amp;YEAR(ТабПозиции[[#This Row],[date]])</f>
        <v>4/2024</v>
      </c>
      <c r="D428" s="1" t="str">
        <f>IFERROR(VLOOKUP(ТабПозиции[[#This Row],[orderNum]],ТабЗаказы[#Data],MATCH(D$7,ТабЗаказы[#Headers],0),0),"")</f>
        <v/>
      </c>
      <c r="E428" s="1" t="str">
        <f>IFERROR(VLOOKUP(ТабПозиции[[#This Row],[orderNum]],ТабЗаказы[#Data],MATCH(E$7,ТабЗаказы[#Headers],0),0),"")</f>
        <v/>
      </c>
      <c r="F428" s="16" t="s">
        <v>942</v>
      </c>
      <c r="G428" s="40" t="s">
        <v>545</v>
      </c>
      <c r="I428" s="18">
        <v>45446</v>
      </c>
      <c r="J428" s="10">
        <v>1</v>
      </c>
      <c r="K428" s="10">
        <v>222</v>
      </c>
      <c r="L428">
        <v>222</v>
      </c>
      <c r="M428" s="10">
        <v>227</v>
      </c>
      <c r="N428">
        <f t="shared" si="8"/>
        <v>227</v>
      </c>
      <c r="P4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Row],[orderNum]],ТабПозиции[orderSumm])&gt;1500),ABS(N428*VLOOKUP(ТабПозиции[[#This Row],[orderNum]],ТабЗаказы[#Data],MATCH("Percent",ТабЗаказы[#Headers],0),0))/100,200/COUNTIF(ТабПозиции[orderNum],ТабПозиции[[#This Row],[orderNum]])),0),"")</f>
        <v>34</v>
      </c>
      <c r="Q428">
        <f>IF(OR(ТабПозиции[[#This Row],[item]]="По штрихкоду",ТабПозиции[[#This Row],[item]]="Посылка"),ТабПозиции[[#This Row],[deliverySumm]]+ТабПозиции[[#This Row],[deliveryPost]],SUM(N428:P428))</f>
        <v>261</v>
      </c>
      <c r="R428" s="41">
        <v>261</v>
      </c>
      <c r="S428" s="46">
        <f>ТабПозиции[[#This Row],[totalSumm]]-ТабПозиции[[#This Row],[payment]]</f>
        <v>0</v>
      </c>
      <c r="T428" s="18" t="s">
        <v>580</v>
      </c>
      <c r="U428" s="40" t="s">
        <v>552</v>
      </c>
      <c r="V428" s="40" t="s">
        <v>552</v>
      </c>
      <c r="W428" s="40" t="s">
        <v>545</v>
      </c>
      <c r="X428" s="3"/>
      <c r="Y428"/>
    </row>
    <row r="429" spans="1:25" hidden="1" x14ac:dyDescent="0.25">
      <c r="A429" s="10">
        <v>43</v>
      </c>
      <c r="B429" s="1">
        <f>IFERROR(VLOOKUP(ТабПозиции[[#This Row],[orderNum]],ТабЗаказы[#Data],MATCH(B$7,ТабЗаказы[#Headers],0),0),"")</f>
        <v>45383</v>
      </c>
      <c r="C429" t="str">
        <f>MONTH(ТабПозиции[[#This Row],[date]])&amp;"/"&amp;YEAR(ТабПозиции[[#This Row],[date]])</f>
        <v>4/2024</v>
      </c>
      <c r="D429" s="1" t="str">
        <f>IFERROR(VLOOKUP(ТабПозиции[[#This Row],[orderNum]],ТабЗаказы[#Data],MATCH(D$7,ТабЗаказы[#Headers],0),0),"")</f>
        <v/>
      </c>
      <c r="E429" s="1" t="str">
        <f>IFERROR(VLOOKUP(ТабПозиции[[#This Row],[orderNum]],ТабЗаказы[#Data],MATCH(E$7,ТабЗаказы[#Headers],0),0),"")</f>
        <v/>
      </c>
      <c r="F429" s="16" t="s">
        <v>804</v>
      </c>
      <c r="G429" s="40" t="s">
        <v>545</v>
      </c>
      <c r="I429" s="18">
        <v>45442</v>
      </c>
      <c r="J429" s="10">
        <v>1</v>
      </c>
      <c r="K429" s="10">
        <v>1251</v>
      </c>
      <c r="L429">
        <v>1251</v>
      </c>
      <c r="M429" s="10">
        <v>1346</v>
      </c>
      <c r="N429">
        <f t="shared" si="8"/>
        <v>1346</v>
      </c>
      <c r="P4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Row],[orderNum]],ТабПозиции[orderSumm])&gt;1500),ABS(N429*VLOOKUP(ТабПозиции[[#This Row],[orderNum]],ТабЗаказы[#Data],MATCH("Percent",ТабЗаказы[#Headers],0),0))/100,200/COUNTIF(ТабПозиции[orderNum],ТабПозиции[[#This Row],[orderNum]])),0),"")</f>
        <v>202</v>
      </c>
      <c r="Q429">
        <f>IF(OR(ТабПозиции[[#This Row],[item]]="По штрихкоду",ТабПозиции[[#This Row],[item]]="Посылка"),ТабПозиции[[#This Row],[deliverySumm]]+ТабПозиции[[#This Row],[deliveryPost]],SUM(N429:P429))</f>
        <v>1548</v>
      </c>
      <c r="R429" s="41">
        <v>1548</v>
      </c>
      <c r="S429" s="46">
        <f>ТабПозиции[[#This Row],[totalSumm]]-ТабПозиции[[#This Row],[payment]]</f>
        <v>0</v>
      </c>
      <c r="T429" s="18" t="s">
        <v>580</v>
      </c>
      <c r="U429" s="40" t="s">
        <v>552</v>
      </c>
      <c r="V429" s="40" t="s">
        <v>552</v>
      </c>
      <c r="W429" s="40" t="s">
        <v>545</v>
      </c>
      <c r="X429" s="3"/>
      <c r="Y429"/>
    </row>
    <row r="430" spans="1:25" hidden="1" x14ac:dyDescent="0.25">
      <c r="A430" s="10">
        <v>100</v>
      </c>
      <c r="B430" s="1">
        <f>IFERROR(VLOOKUP(ТабПозиции[[#This Row],[orderNum]],ТабЗаказы[#Data],MATCH(B$7,ТабЗаказы[#Headers],0),0),"")</f>
        <v>45425</v>
      </c>
      <c r="C430" t="str">
        <f>MONTH(ТабПозиции[[#This Row],[date]])&amp;"/"&amp;YEAR(ТабПозиции[[#This Row],[date]])</f>
        <v>5/2024</v>
      </c>
      <c r="D430" s="1" t="str">
        <f>IFERROR(VLOOKUP(ТабПозиции[[#This Row],[orderNum]],ТабЗаказы[#Data],MATCH(D$7,ТабЗаказы[#Headers],0),0),"")</f>
        <v/>
      </c>
      <c r="E430" s="1" t="str">
        <f>IFERROR(VLOOKUP(ТабПозиции[[#This Row],[orderNum]],ТабЗаказы[#Data],MATCH(E$7,ТабЗаказы[#Headers],0),0),"")</f>
        <v/>
      </c>
      <c r="F430" s="16" t="s">
        <v>943</v>
      </c>
      <c r="G430" s="40" t="s">
        <v>545</v>
      </c>
      <c r="I430" s="18">
        <v>45444</v>
      </c>
      <c r="J430" s="10">
        <v>1</v>
      </c>
      <c r="K430" s="10">
        <v>1181</v>
      </c>
      <c r="L430">
        <v>1181</v>
      </c>
      <c r="M430" s="10">
        <v>1264</v>
      </c>
      <c r="N430">
        <f t="shared" si="8"/>
        <v>1264</v>
      </c>
      <c r="P4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Row],[orderNum]],ТабПозиции[orderSumm])&gt;1500),ABS(N430*VLOOKUP(ТабПозиции[[#This Row],[orderNum]],ТабЗаказы[#Data],MATCH("Percent",ТабЗаказы[#Headers],0),0))/100,200/COUNTIF(ТабПозиции[orderNum],ТабПозиции[[#This Row],[orderNum]])),0),"")</f>
        <v>190</v>
      </c>
      <c r="Q430">
        <f>IF(OR(ТабПозиции[[#This Row],[item]]="По штрихкоду",ТабПозиции[[#This Row],[item]]="Посылка"),ТабПозиции[[#This Row],[deliverySumm]]+ТабПозиции[[#This Row],[deliveryPost]],SUM(N430:P430))</f>
        <v>1454</v>
      </c>
      <c r="R430" s="41">
        <v>1454</v>
      </c>
      <c r="S430" s="46">
        <f>ТабПозиции[[#This Row],[totalSumm]]-ТабПозиции[[#This Row],[payment]]</f>
        <v>0</v>
      </c>
      <c r="T430" s="18" t="s">
        <v>580</v>
      </c>
      <c r="U430" s="40" t="s">
        <v>552</v>
      </c>
      <c r="V430" s="40" t="s">
        <v>545</v>
      </c>
      <c r="W430" s="40" t="s">
        <v>545</v>
      </c>
      <c r="X430" s="3"/>
      <c r="Y430"/>
    </row>
    <row r="431" spans="1:25" hidden="1" x14ac:dyDescent="0.25">
      <c r="A431" s="10">
        <v>100</v>
      </c>
      <c r="B431" s="1">
        <f>IFERROR(VLOOKUP(ТабПозиции[[#This Row],[orderNum]],ТабЗаказы[#Data],MATCH(B$7,ТабЗаказы[#Headers],0),0),"")</f>
        <v>45425</v>
      </c>
      <c r="C431" t="str">
        <f>MONTH(ТабПозиции[[#This Row],[date]])&amp;"/"&amp;YEAR(ТабПозиции[[#This Row],[date]])</f>
        <v>5/2024</v>
      </c>
      <c r="D431" s="1" t="str">
        <f>IFERROR(VLOOKUP(ТабПозиции[[#This Row],[orderNum]],ТабЗаказы[#Data],MATCH(D$7,ТабЗаказы[#Headers],0),0),"")</f>
        <v/>
      </c>
      <c r="E431" s="1" t="str">
        <f>IFERROR(VLOOKUP(ТабПозиции[[#This Row],[orderNum]],ТабЗаказы[#Data],MATCH(E$7,ТабЗаказы[#Headers],0),0),"")</f>
        <v/>
      </c>
      <c r="F431" s="16" t="s">
        <v>783</v>
      </c>
      <c r="G431" s="40" t="s">
        <v>545</v>
      </c>
      <c r="I431" s="18">
        <v>45448</v>
      </c>
      <c r="J431" s="10">
        <v>1</v>
      </c>
      <c r="K431" s="10">
        <v>373</v>
      </c>
      <c r="L431">
        <v>373</v>
      </c>
      <c r="M431" s="10">
        <v>381</v>
      </c>
      <c r="N431">
        <f t="shared" si="8"/>
        <v>381</v>
      </c>
      <c r="P4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Row],[orderNum]],ТабПозиции[orderSumm])&gt;1500),ABS(N431*VLOOKUP(ТабПозиции[[#This Row],[orderNum]],ТабЗаказы[#Data],MATCH("Percent",ТабЗаказы[#Headers],0),0))/100,200/COUNTIF(ТабПозиции[orderNum],ТабПозиции[[#This Row],[orderNum]])),0),"")</f>
        <v>57</v>
      </c>
      <c r="Q431">
        <f>IF(OR(ТабПозиции[[#This Row],[item]]="По штрихкоду",ТабПозиции[[#This Row],[item]]="Посылка"),ТабПозиции[[#This Row],[deliverySumm]]+ТабПозиции[[#This Row],[deliveryPost]],SUM(N431:P431))</f>
        <v>438</v>
      </c>
      <c r="R431" s="41">
        <v>438</v>
      </c>
      <c r="S431" s="46">
        <f>ТабПозиции[[#This Row],[totalSumm]]-ТабПозиции[[#This Row],[payment]]</f>
        <v>0</v>
      </c>
      <c r="T431" s="18" t="s">
        <v>580</v>
      </c>
      <c r="U431" s="40" t="s">
        <v>552</v>
      </c>
      <c r="V431" s="40" t="s">
        <v>545</v>
      </c>
      <c r="W431" s="40" t="s">
        <v>545</v>
      </c>
      <c r="X431" s="3"/>
      <c r="Y431"/>
    </row>
    <row r="432" spans="1:25" hidden="1" x14ac:dyDescent="0.25">
      <c r="A432" s="10">
        <v>114</v>
      </c>
      <c r="B432" s="1">
        <f>IFERROR(VLOOKUP(ТабПозиции[[#This Row],[orderNum]],ТабЗаказы[#Data],MATCH(B$7,ТабЗаказы[#Headers],0),0),"")</f>
        <v>45434</v>
      </c>
      <c r="C432" t="str">
        <f>MONTH(ТабПозиции[[#This Row],[date]])&amp;"/"&amp;YEAR(ТабПозиции[[#This Row],[date]])</f>
        <v>5/2024</v>
      </c>
      <c r="D432" s="1" t="str">
        <f>IFERROR(VLOOKUP(ТабПозиции[[#This Row],[orderNum]],ТабЗаказы[#Data],MATCH(D$7,ТабЗаказы[#Headers],0),0),"")</f>
        <v/>
      </c>
      <c r="E432" s="1" t="str">
        <f>IFERROR(VLOOKUP(ТабПозиции[[#This Row],[orderNum]],ТабЗаказы[#Data],MATCH(E$7,ТабЗаказы[#Headers],0),0),"")</f>
        <v/>
      </c>
      <c r="F432" s="16" t="s">
        <v>944</v>
      </c>
      <c r="G432" s="40" t="s">
        <v>545</v>
      </c>
      <c r="I432" s="18"/>
      <c r="J432" s="10">
        <v>1</v>
      </c>
      <c r="K432" s="10">
        <v>4515</v>
      </c>
      <c r="L432">
        <v>4515</v>
      </c>
      <c r="M432" s="10">
        <v>4515</v>
      </c>
      <c r="N432">
        <f t="shared" si="8"/>
        <v>4515</v>
      </c>
      <c r="O432" s="10">
        <v>389</v>
      </c>
      <c r="P4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Row],[orderNum]],ТабПозиции[orderSumm])&gt;1500),ABS(N432*VLOOKUP(ТабПозиции[[#This Row],[orderNum]],ТабЗаказы[#Data],MATCH("Percent",ТабЗаказы[#Headers],0),0))/100,200/COUNTIF(ТабПозиции[orderNum],ТабПозиции[[#This Row],[orderNum]])),0),"")</f>
        <v>677</v>
      </c>
      <c r="Q432">
        <f>IF(OR(ТабПозиции[[#This Row],[item]]="По штрихкоду",ТабПозиции[[#This Row],[item]]="Посылка"),ТабПозиции[[#This Row],[deliverySumm]]+ТабПозиции[[#This Row],[deliveryPost]],SUM(N432:P432))</f>
        <v>5581</v>
      </c>
      <c r="R432" s="41">
        <v>5581</v>
      </c>
      <c r="S432" s="46">
        <f>ТабПозиции[[#This Row],[totalSumm]]-ТабПозиции[[#This Row],[payment]]</f>
        <v>0</v>
      </c>
      <c r="T432" s="18" t="s">
        <v>694</v>
      </c>
      <c r="U432" s="40" t="s">
        <v>552</v>
      </c>
      <c r="V432" s="40" t="s">
        <v>545</v>
      </c>
      <c r="W432" s="40" t="s">
        <v>545</v>
      </c>
      <c r="X432" s="3"/>
      <c r="Y432"/>
    </row>
    <row r="433" spans="1:25" hidden="1" x14ac:dyDescent="0.25">
      <c r="A433" s="10">
        <v>70</v>
      </c>
      <c r="B433" s="1">
        <f>IFERROR(VLOOKUP(ТабПозиции[[#This Row],[orderNum]],ТабЗаказы[#Data],MATCH(B$7,ТабЗаказы[#Headers],0),0),"")</f>
        <v>45443</v>
      </c>
      <c r="C433" t="str">
        <f>MONTH(ТабПозиции[[#This Row],[date]])&amp;"/"&amp;YEAR(ТабПозиции[[#This Row],[date]])</f>
        <v>5/2024</v>
      </c>
      <c r="D433" s="1" t="str">
        <f>IFERROR(VLOOKUP(ТабПозиции[[#This Row],[orderNum]],ТабЗаказы[#Data],MATCH(D$7,ТабЗаказы[#Headers],0),0),"")</f>
        <v/>
      </c>
      <c r="E433" s="1" t="str">
        <f>IFERROR(VLOOKUP(ТабПозиции[[#This Row],[orderNum]],ТабЗаказы[#Data],MATCH(E$7,ТабЗаказы[#Headers],0),0),"")</f>
        <v/>
      </c>
      <c r="F433" s="16" t="s">
        <v>945</v>
      </c>
      <c r="G433" s="40" t="s">
        <v>545</v>
      </c>
      <c r="I433" s="18">
        <v>45448</v>
      </c>
      <c r="J433" s="10">
        <v>1</v>
      </c>
      <c r="K433" s="10">
        <v>216</v>
      </c>
      <c r="L433">
        <v>216</v>
      </c>
      <c r="M433" s="10">
        <v>220</v>
      </c>
      <c r="N433">
        <f t="shared" si="8"/>
        <v>220</v>
      </c>
      <c r="P4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Row],[orderNum]],ТабПозиции[orderSumm])&gt;1500),ABS(N433*VLOOKUP(ТабПозиции[[#This Row],[orderNum]],ТабЗаказы[#Data],MATCH("Percent",ТабЗаказы[#Headers],0),0))/100,200/COUNTIF(ТабПозиции[orderNum],ТабПозиции[[#This Row],[orderNum]])),0),"")</f>
        <v>33</v>
      </c>
      <c r="Q433">
        <f>IF(OR(ТабПозиции[[#This Row],[item]]="По штрихкоду",ТабПозиции[[#This Row],[item]]="Посылка"),ТабПозиции[[#This Row],[deliverySumm]]+ТабПозиции[[#This Row],[deliveryPost]],SUM(N433:P433))</f>
        <v>253</v>
      </c>
      <c r="R433" s="41">
        <v>253</v>
      </c>
      <c r="S433" s="46">
        <f>ТабПозиции[[#This Row],[totalSumm]]-ТабПозиции[[#This Row],[payment]]</f>
        <v>0</v>
      </c>
      <c r="T433" s="18" t="s">
        <v>580</v>
      </c>
      <c r="U433" s="40" t="s">
        <v>545</v>
      </c>
      <c r="V433" s="40" t="s">
        <v>545</v>
      </c>
      <c r="W433" s="40" t="s">
        <v>545</v>
      </c>
      <c r="X433" s="3"/>
      <c r="Y433"/>
    </row>
    <row r="434" spans="1:25" hidden="1" x14ac:dyDescent="0.25">
      <c r="A434" s="10">
        <v>70</v>
      </c>
      <c r="B434" s="1">
        <f>IFERROR(VLOOKUP(ТабПозиции[[#This Row],[orderNum]],ТабЗаказы[#Data],MATCH(B$7,ТабЗаказы[#Headers],0),0),"")</f>
        <v>45443</v>
      </c>
      <c r="C434" t="str">
        <f>MONTH(ТабПозиции[[#This Row],[date]])&amp;"/"&amp;YEAR(ТабПозиции[[#This Row],[date]])</f>
        <v>5/2024</v>
      </c>
      <c r="D434" s="1" t="str">
        <f>IFERROR(VLOOKUP(ТабПозиции[[#This Row],[orderNum]],ТабЗаказы[#Data],MATCH(D$7,ТабЗаказы[#Headers],0),0),"")</f>
        <v/>
      </c>
      <c r="E434" s="1" t="str">
        <f>IFERROR(VLOOKUP(ТабПозиции[[#This Row],[orderNum]],ТабЗаказы[#Data],MATCH(E$7,ТабЗаказы[#Headers],0),0),"")</f>
        <v/>
      </c>
      <c r="F434" s="16" t="s">
        <v>946</v>
      </c>
      <c r="G434" s="40" t="s">
        <v>545</v>
      </c>
      <c r="I434" s="18">
        <v>45451</v>
      </c>
      <c r="J434" s="10">
        <v>1</v>
      </c>
      <c r="K434" s="10">
        <v>426</v>
      </c>
      <c r="L434">
        <v>426</v>
      </c>
      <c r="M434" s="10">
        <v>435</v>
      </c>
      <c r="N434">
        <f t="shared" si="8"/>
        <v>435</v>
      </c>
      <c r="P4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Row],[orderNum]],ТабПозиции[orderSumm])&gt;1500),ABS(N434*VLOOKUP(ТабПозиции[[#This Row],[orderNum]],ТабЗаказы[#Data],MATCH("Percent",ТабЗаказы[#Headers],0),0))/100,200/COUNTIF(ТабПозиции[orderNum],ТабПозиции[[#This Row],[orderNum]])),0),"")</f>
        <v>65</v>
      </c>
      <c r="Q434">
        <f>IF(OR(ТабПозиции[[#This Row],[item]]="По штрихкоду",ТабПозиции[[#This Row],[item]]="Посылка"),ТабПозиции[[#This Row],[deliverySumm]]+ТабПозиции[[#This Row],[deliveryPost]],SUM(N434:P434))</f>
        <v>500</v>
      </c>
      <c r="R434" s="41">
        <v>500</v>
      </c>
      <c r="S434" s="46">
        <f>ТабПозиции[[#This Row],[totalSumm]]-ТабПозиции[[#This Row],[payment]]</f>
        <v>0</v>
      </c>
      <c r="T434" s="18" t="s">
        <v>580</v>
      </c>
      <c r="U434" s="40" t="s">
        <v>545</v>
      </c>
      <c r="V434" s="40" t="s">
        <v>545</v>
      </c>
      <c r="W434" s="40" t="s">
        <v>545</v>
      </c>
      <c r="X434" s="3"/>
      <c r="Y434"/>
    </row>
    <row r="435" spans="1:25" hidden="1" x14ac:dyDescent="0.25">
      <c r="A435" s="10">
        <v>70</v>
      </c>
      <c r="B435" s="1">
        <f>IFERROR(VLOOKUP(ТабПозиции[[#This Row],[orderNum]],ТабЗаказы[#Data],MATCH(B$7,ТабЗаказы[#Headers],0),0),"")</f>
        <v>45443</v>
      </c>
      <c r="C435" t="str">
        <f>MONTH(ТабПозиции[[#This Row],[date]])&amp;"/"&amp;YEAR(ТабПозиции[[#This Row],[date]])</f>
        <v>5/2024</v>
      </c>
      <c r="D435" s="1" t="str">
        <f>IFERROR(VLOOKUP(ТабПозиции[[#This Row],[orderNum]],ТабЗаказы[#Data],MATCH(D$7,ТабЗаказы[#Headers],0),0),"")</f>
        <v/>
      </c>
      <c r="E435" s="1" t="str">
        <f>IFERROR(VLOOKUP(ТабПозиции[[#This Row],[orderNum]],ТабЗаказы[#Data],MATCH(E$7,ТабЗаказы[#Headers],0),0),"")</f>
        <v/>
      </c>
      <c r="F435" s="16" t="s">
        <v>947</v>
      </c>
      <c r="G435" s="40" t="s">
        <v>545</v>
      </c>
      <c r="I435" s="18">
        <v>45456</v>
      </c>
      <c r="J435" s="10">
        <v>1</v>
      </c>
      <c r="K435" s="10">
        <v>507</v>
      </c>
      <c r="L435">
        <v>507</v>
      </c>
      <c r="M435" s="10">
        <v>549</v>
      </c>
      <c r="N435">
        <f t="shared" si="8"/>
        <v>549</v>
      </c>
      <c r="P4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Row],[orderNum]],ТабПозиции[orderSumm])&gt;1500),ABS(N435*VLOOKUP(ТабПозиции[[#This Row],[orderNum]],ТабЗаказы[#Data],MATCH("Percent",ТабЗаказы[#Headers],0),0))/100,200/COUNTIF(ТабПозиции[orderNum],ТабПозиции[[#This Row],[orderNum]])),0),"")</f>
        <v>82</v>
      </c>
      <c r="Q435">
        <f>IF(OR(ТабПозиции[[#This Row],[item]]="По штрихкоду",ТабПозиции[[#This Row],[item]]="Посылка"),ТабПозиции[[#This Row],[deliverySumm]]+ТабПозиции[[#This Row],[deliveryPost]],SUM(N435:P435))</f>
        <v>631</v>
      </c>
      <c r="R435" s="41">
        <v>631</v>
      </c>
      <c r="S435" s="46">
        <f>ТабПозиции[[#This Row],[totalSumm]]-ТабПозиции[[#This Row],[payment]]</f>
        <v>0</v>
      </c>
      <c r="T435" s="18" t="s">
        <v>580</v>
      </c>
      <c r="U435" s="40" t="s">
        <v>545</v>
      </c>
      <c r="V435" s="40" t="s">
        <v>545</v>
      </c>
      <c r="W435" s="40" t="s">
        <v>545</v>
      </c>
      <c r="X435" s="3"/>
      <c r="Y435"/>
    </row>
    <row r="436" spans="1:25" hidden="1" x14ac:dyDescent="0.25">
      <c r="A436" s="10">
        <v>70</v>
      </c>
      <c r="B436" s="1">
        <f>IFERROR(VLOOKUP(ТабПозиции[[#This Row],[orderNum]],ТабЗаказы[#Data],MATCH(B$7,ТабЗаказы[#Headers],0),0),"")</f>
        <v>45443</v>
      </c>
      <c r="C436" t="str">
        <f>MONTH(ТабПозиции[[#This Row],[date]])&amp;"/"&amp;YEAR(ТабПозиции[[#This Row],[date]])</f>
        <v>5/2024</v>
      </c>
      <c r="D436" s="1" t="str">
        <f>IFERROR(VLOOKUP(ТабПозиции[[#This Row],[orderNum]],ТабЗаказы[#Data],MATCH(D$7,ТабЗаказы[#Headers],0),0),"")</f>
        <v/>
      </c>
      <c r="E436" s="1" t="str">
        <f>IFERROR(VLOOKUP(ТабПозиции[[#This Row],[orderNum]],ТабЗаказы[#Data],MATCH(E$7,ТабЗаказы[#Headers],0),0),"")</f>
        <v/>
      </c>
      <c r="F436" s="16" t="s">
        <v>948</v>
      </c>
      <c r="G436" s="40" t="s">
        <v>545</v>
      </c>
      <c r="I436" s="18">
        <v>45447</v>
      </c>
      <c r="J436" s="10">
        <v>1</v>
      </c>
      <c r="K436" s="10">
        <v>522</v>
      </c>
      <c r="L436">
        <v>522</v>
      </c>
      <c r="M436" s="10">
        <v>565</v>
      </c>
      <c r="N436">
        <f t="shared" si="8"/>
        <v>565</v>
      </c>
      <c r="P4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Row],[orderNum]],ТабПозиции[orderSumm])&gt;1500),ABS(N436*VLOOKUP(ТабПозиции[[#This Row],[orderNum]],ТабЗаказы[#Data],MATCH("Percent",ТабЗаказы[#Headers],0),0))/100,200/COUNTIF(ТабПозиции[orderNum],ТабПозиции[[#This Row],[orderNum]])),0),"")</f>
        <v>85</v>
      </c>
      <c r="Q436">
        <f>IF(OR(ТабПозиции[[#This Row],[item]]="По штрихкоду",ТабПозиции[[#This Row],[item]]="Посылка"),ТабПозиции[[#This Row],[deliverySumm]]+ТабПозиции[[#This Row],[deliveryPost]],SUM(N436:P436))</f>
        <v>650</v>
      </c>
      <c r="R436" s="41">
        <v>650</v>
      </c>
      <c r="S436" s="46">
        <f>ТабПозиции[[#This Row],[totalSumm]]-ТабПозиции[[#This Row],[payment]]</f>
        <v>0</v>
      </c>
      <c r="T436" s="18" t="s">
        <v>580</v>
      </c>
      <c r="U436" s="40" t="s">
        <v>545</v>
      </c>
      <c r="V436" s="40" t="s">
        <v>545</v>
      </c>
      <c r="W436" s="40" t="s">
        <v>545</v>
      </c>
      <c r="X436" s="3"/>
      <c r="Y436"/>
    </row>
    <row r="437" spans="1:25" hidden="1" x14ac:dyDescent="0.25">
      <c r="A437" s="10">
        <v>70</v>
      </c>
      <c r="B437" s="1">
        <f>IFERROR(VLOOKUP(ТабПозиции[[#This Row],[orderNum]],ТабЗаказы[#Data],MATCH(B$7,ТабЗаказы[#Headers],0),0),"")</f>
        <v>45443</v>
      </c>
      <c r="C437" t="str">
        <f>MONTH(ТабПозиции[[#This Row],[date]])&amp;"/"&amp;YEAR(ТабПозиции[[#This Row],[date]])</f>
        <v>5/2024</v>
      </c>
      <c r="D437" s="1" t="str">
        <f>IFERROR(VLOOKUP(ТабПозиции[[#This Row],[orderNum]],ТабЗаказы[#Data],MATCH(D$7,ТабЗаказы[#Headers],0),0),"")</f>
        <v/>
      </c>
      <c r="E437" s="1" t="str">
        <f>IFERROR(VLOOKUP(ТабПозиции[[#This Row],[orderNum]],ТабЗаказы[#Data],MATCH(E$7,ТабЗаказы[#Headers],0),0),"")</f>
        <v/>
      </c>
      <c r="F437" s="16" t="s">
        <v>949</v>
      </c>
      <c r="G437" s="40" t="s">
        <v>545</v>
      </c>
      <c r="I437" s="18">
        <v>45447</v>
      </c>
      <c r="J437" s="10">
        <v>1</v>
      </c>
      <c r="K437" s="10">
        <v>569</v>
      </c>
      <c r="L437">
        <v>569</v>
      </c>
      <c r="M437" s="10">
        <v>616</v>
      </c>
      <c r="N437">
        <f t="shared" si="8"/>
        <v>616</v>
      </c>
      <c r="P4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Row],[orderNum]],ТабПозиции[orderSumm])&gt;1500),ABS(N437*VLOOKUP(ТабПозиции[[#This Row],[orderNum]],ТабЗаказы[#Data],MATCH("Percent",ТабЗаказы[#Headers],0),0))/100,200/COUNTIF(ТабПозиции[orderNum],ТабПозиции[[#This Row],[orderNum]])),0),"")</f>
        <v>92</v>
      </c>
      <c r="Q437">
        <f>IF(OR(ТабПозиции[[#This Row],[item]]="По штрихкоду",ТабПозиции[[#This Row],[item]]="Посылка"),ТабПозиции[[#This Row],[deliverySumm]]+ТабПозиции[[#This Row],[deliveryPost]],SUM(N437:P437))</f>
        <v>708</v>
      </c>
      <c r="R437" s="41">
        <v>708</v>
      </c>
      <c r="S437" s="46">
        <f>ТабПозиции[[#This Row],[totalSumm]]-ТабПозиции[[#This Row],[payment]]</f>
        <v>0</v>
      </c>
      <c r="T437" s="18" t="s">
        <v>580</v>
      </c>
      <c r="U437" s="40" t="s">
        <v>545</v>
      </c>
      <c r="V437" s="40" t="s">
        <v>545</v>
      </c>
      <c r="W437" s="40" t="s">
        <v>545</v>
      </c>
      <c r="X437" s="3"/>
      <c r="Y437"/>
    </row>
    <row r="438" spans="1:25" hidden="1" x14ac:dyDescent="0.25">
      <c r="A438" s="10">
        <v>70</v>
      </c>
      <c r="B438" s="1">
        <f>IFERROR(VLOOKUP(ТабПозиции[[#This Row],[orderNum]],ТабЗаказы[#Data],MATCH(B$7,ТабЗаказы[#Headers],0),0),"")</f>
        <v>45443</v>
      </c>
      <c r="C438" t="str">
        <f>MONTH(ТабПозиции[[#This Row],[date]])&amp;"/"&amp;YEAR(ТабПозиции[[#This Row],[date]])</f>
        <v>5/2024</v>
      </c>
      <c r="D438" s="1" t="str">
        <f>IFERROR(VLOOKUP(ТабПозиции[[#This Row],[orderNum]],ТабЗаказы[#Data],MATCH(D$7,ТабЗаказы[#Headers],0),0),"")</f>
        <v/>
      </c>
      <c r="E438" s="1" t="str">
        <f>IFERROR(VLOOKUP(ТабПозиции[[#This Row],[orderNum]],ТабЗаказы[#Data],MATCH(E$7,ТабЗаказы[#Headers],0),0),"")</f>
        <v/>
      </c>
      <c r="F438" s="16" t="s">
        <v>950</v>
      </c>
      <c r="G438" s="40" t="s">
        <v>545</v>
      </c>
      <c r="I438" s="18">
        <v>45447</v>
      </c>
      <c r="J438" s="10">
        <v>1</v>
      </c>
      <c r="K438" s="10">
        <v>514</v>
      </c>
      <c r="L438">
        <v>514</v>
      </c>
      <c r="M438" s="10">
        <v>557</v>
      </c>
      <c r="N438">
        <f t="shared" si="8"/>
        <v>557</v>
      </c>
      <c r="P4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Row],[orderNum]],ТабПозиции[orderSumm])&gt;1500),ABS(N438*VLOOKUP(ТабПозиции[[#This Row],[orderNum]],ТабЗаказы[#Data],MATCH("Percent",ТабЗаказы[#Headers],0),0))/100,200/COUNTIF(ТабПозиции[orderNum],ТабПозиции[[#This Row],[orderNum]])),0),"")</f>
        <v>84</v>
      </c>
      <c r="Q438">
        <f>IF(OR(ТабПозиции[[#This Row],[item]]="По штрихкоду",ТабПозиции[[#This Row],[item]]="Посылка"),ТабПозиции[[#This Row],[deliverySumm]]+ТабПозиции[[#This Row],[deliveryPost]],SUM(N438:P438))</f>
        <v>641</v>
      </c>
      <c r="R438" s="41">
        <v>641</v>
      </c>
      <c r="S438" s="46">
        <f>ТабПозиции[[#This Row],[totalSumm]]-ТабПозиции[[#This Row],[payment]]</f>
        <v>0</v>
      </c>
      <c r="T438" s="18" t="s">
        <v>580</v>
      </c>
      <c r="U438" s="40" t="s">
        <v>545</v>
      </c>
      <c r="V438" s="40" t="s">
        <v>545</v>
      </c>
      <c r="W438" s="40" t="s">
        <v>545</v>
      </c>
      <c r="X438" s="3"/>
      <c r="Y438"/>
    </row>
    <row r="439" spans="1:25" hidden="1" x14ac:dyDescent="0.25">
      <c r="A439" s="10">
        <v>70</v>
      </c>
      <c r="B439" s="1">
        <f>IFERROR(VLOOKUP(ТабПозиции[[#This Row],[orderNum]],ТабЗаказы[#Data],MATCH(B$7,ТабЗаказы[#Headers],0),0),"")</f>
        <v>45443</v>
      </c>
      <c r="C439" t="str">
        <f>MONTH(ТабПозиции[[#This Row],[date]])&amp;"/"&amp;YEAR(ТабПозиции[[#This Row],[date]])</f>
        <v>5/2024</v>
      </c>
      <c r="D439" s="1" t="str">
        <f>IFERROR(VLOOKUP(ТабПозиции[[#This Row],[orderNum]],ТабЗаказы[#Data],MATCH(D$7,ТабЗаказы[#Headers],0),0),"")</f>
        <v/>
      </c>
      <c r="E439" s="1" t="str">
        <f>IFERROR(VLOOKUP(ТабПозиции[[#This Row],[orderNum]],ТабЗаказы[#Data],MATCH(E$7,ТабЗаказы[#Headers],0),0),"")</f>
        <v/>
      </c>
      <c r="F439" s="16" t="s">
        <v>951</v>
      </c>
      <c r="G439" s="40" t="s">
        <v>545</v>
      </c>
      <c r="I439" s="18">
        <v>45447</v>
      </c>
      <c r="J439" s="10">
        <v>1</v>
      </c>
      <c r="K439" s="10">
        <v>514</v>
      </c>
      <c r="L439">
        <v>514</v>
      </c>
      <c r="M439" s="10">
        <v>557</v>
      </c>
      <c r="N439">
        <f t="shared" si="8"/>
        <v>557</v>
      </c>
      <c r="P4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Row],[orderNum]],ТабПозиции[orderSumm])&gt;1500),ABS(N439*VLOOKUP(ТабПозиции[[#This Row],[orderNum]],ТабЗаказы[#Data],MATCH("Percent",ТабЗаказы[#Headers],0),0))/100,200/COUNTIF(ТабПозиции[orderNum],ТабПозиции[[#This Row],[orderNum]])),0),"")</f>
        <v>84</v>
      </c>
      <c r="Q439">
        <f>IF(OR(ТабПозиции[[#This Row],[item]]="По штрихкоду",ТабПозиции[[#This Row],[item]]="Посылка"),ТабПозиции[[#This Row],[deliverySumm]]+ТабПозиции[[#This Row],[deliveryPost]],SUM(N439:P439))</f>
        <v>641</v>
      </c>
      <c r="R439" s="41">
        <v>641</v>
      </c>
      <c r="S439" s="46">
        <f>ТабПозиции[[#This Row],[totalSumm]]-ТабПозиции[[#This Row],[payment]]</f>
        <v>0</v>
      </c>
      <c r="T439" s="18" t="s">
        <v>580</v>
      </c>
      <c r="U439" s="40" t="s">
        <v>545</v>
      </c>
      <c r="V439" s="40" t="s">
        <v>545</v>
      </c>
      <c r="W439" s="40" t="s">
        <v>545</v>
      </c>
      <c r="X439" s="3"/>
      <c r="Y439"/>
    </row>
    <row r="440" spans="1:25" hidden="1" x14ac:dyDescent="0.25">
      <c r="A440" s="10">
        <v>70</v>
      </c>
      <c r="B440" s="1">
        <f>IFERROR(VLOOKUP(ТабПозиции[[#This Row],[orderNum]],ТабЗаказы[#Data],MATCH(B$7,ТабЗаказы[#Headers],0),0),"")</f>
        <v>45443</v>
      </c>
      <c r="C440" t="str">
        <f>MONTH(ТабПозиции[[#This Row],[date]])&amp;"/"&amp;YEAR(ТабПозиции[[#This Row],[date]])</f>
        <v>5/2024</v>
      </c>
      <c r="D440" s="1" t="str">
        <f>IFERROR(VLOOKUP(ТабПозиции[[#This Row],[orderNum]],ТабЗаказы[#Data],MATCH(D$7,ТабЗаказы[#Headers],0),0),"")</f>
        <v/>
      </c>
      <c r="E440" s="1" t="str">
        <f>IFERROR(VLOOKUP(ТабПозиции[[#This Row],[orderNum]],ТабЗаказы[#Data],MATCH(E$7,ТабЗаказы[#Headers],0),0),"")</f>
        <v/>
      </c>
      <c r="F440" s="16" t="s">
        <v>952</v>
      </c>
      <c r="G440" s="40" t="s">
        <v>545</v>
      </c>
      <c r="I440" s="18">
        <v>45447</v>
      </c>
      <c r="J440" s="10">
        <v>1</v>
      </c>
      <c r="K440" s="10">
        <v>526</v>
      </c>
      <c r="L440">
        <v>526</v>
      </c>
      <c r="M440" s="10">
        <v>570</v>
      </c>
      <c r="N440">
        <f t="shared" si="8"/>
        <v>570</v>
      </c>
      <c r="P4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Row],[orderNum]],ТабПозиции[orderSumm])&gt;1500),ABS(N440*VLOOKUP(ТабПозиции[[#This Row],[orderNum]],ТабЗаказы[#Data],MATCH("Percent",ТабЗаказы[#Headers],0),0))/100,200/COUNTIF(ТабПозиции[orderNum],ТабПозиции[[#This Row],[orderNum]])),0),"")</f>
        <v>86</v>
      </c>
      <c r="Q440">
        <f>IF(OR(ТабПозиции[[#This Row],[item]]="По штрихкоду",ТабПозиции[[#This Row],[item]]="Посылка"),ТабПозиции[[#This Row],[deliverySumm]]+ТабПозиции[[#This Row],[deliveryPost]],SUM(N440:P440))</f>
        <v>656</v>
      </c>
      <c r="R440" s="41">
        <v>656</v>
      </c>
      <c r="S440" s="46">
        <f>ТабПозиции[[#This Row],[totalSumm]]-ТабПозиции[[#This Row],[payment]]</f>
        <v>0</v>
      </c>
      <c r="T440" s="18" t="s">
        <v>580</v>
      </c>
      <c r="U440" s="40" t="s">
        <v>545</v>
      </c>
      <c r="V440" s="40" t="s">
        <v>545</v>
      </c>
      <c r="W440" s="40" t="s">
        <v>545</v>
      </c>
      <c r="X440" s="3"/>
      <c r="Y440"/>
    </row>
    <row r="441" spans="1:25" hidden="1" x14ac:dyDescent="0.25">
      <c r="A441" s="10">
        <v>70</v>
      </c>
      <c r="B441" s="1">
        <f>IFERROR(VLOOKUP(ТабПозиции[[#This Row],[orderNum]],ТабЗаказы[#Data],MATCH(B$7,ТабЗаказы[#Headers],0),0),"")</f>
        <v>45443</v>
      </c>
      <c r="C441" t="str">
        <f>MONTH(ТабПозиции[[#This Row],[date]])&amp;"/"&amp;YEAR(ТабПозиции[[#This Row],[date]])</f>
        <v>5/2024</v>
      </c>
      <c r="D441" s="1" t="str">
        <f>IFERROR(VLOOKUP(ТабПозиции[[#This Row],[orderNum]],ТабЗаказы[#Data],MATCH(D$7,ТабЗаказы[#Headers],0),0),"")</f>
        <v/>
      </c>
      <c r="E441" s="1" t="str">
        <f>IFERROR(VLOOKUP(ТабПозиции[[#This Row],[orderNum]],ТабЗаказы[#Data],MATCH(E$7,ТабЗаказы[#Headers],0),0),"")</f>
        <v/>
      </c>
      <c r="F441" s="16" t="s">
        <v>953</v>
      </c>
      <c r="G441" s="40" t="s">
        <v>545</v>
      </c>
      <c r="I441" s="18">
        <v>45445</v>
      </c>
      <c r="J441" s="10">
        <v>1</v>
      </c>
      <c r="K441" s="22">
        <v>707</v>
      </c>
      <c r="L441">
        <v>707</v>
      </c>
      <c r="M441" s="10">
        <v>745</v>
      </c>
      <c r="N441">
        <f t="shared" si="8"/>
        <v>745</v>
      </c>
      <c r="P4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Row],[orderNum]],ТабПозиции[orderSumm])&gt;1500),ABS(N441*VLOOKUP(ТабПозиции[[#This Row],[orderNum]],ТабЗаказы[#Data],MATCH("Percent",ТабЗаказы[#Headers],0),0))/100,200/COUNTIF(ТабПозиции[orderNum],ТабПозиции[[#This Row],[orderNum]])),0),"")</f>
        <v>112</v>
      </c>
      <c r="Q441">
        <f>IF(OR(ТабПозиции[[#This Row],[item]]="По штрихкоду",ТабПозиции[[#This Row],[item]]="Посылка"),ТабПозиции[[#This Row],[deliverySumm]]+ТабПозиции[[#This Row],[deliveryPost]],SUM(N441:P441))</f>
        <v>857</v>
      </c>
      <c r="R441" s="41">
        <v>857</v>
      </c>
      <c r="S441" s="46">
        <f>ТабПозиции[[#This Row],[totalSumm]]-ТабПозиции[[#This Row],[payment]]</f>
        <v>0</v>
      </c>
      <c r="T441" s="18" t="s">
        <v>563</v>
      </c>
      <c r="U441" s="40" t="s">
        <v>545</v>
      </c>
      <c r="V441" s="40" t="s">
        <v>545</v>
      </c>
      <c r="W441" s="40" t="s">
        <v>545</v>
      </c>
      <c r="X441" s="3"/>
      <c r="Y441"/>
    </row>
    <row r="442" spans="1:25" hidden="1" x14ac:dyDescent="0.25">
      <c r="A442" s="10">
        <v>70</v>
      </c>
      <c r="B442" s="1">
        <f>IFERROR(VLOOKUP(ТабПозиции[[#This Row],[orderNum]],ТабЗаказы[#Data],MATCH(B$7,ТабЗаказы[#Headers],0),0),"")</f>
        <v>45443</v>
      </c>
      <c r="C442" t="str">
        <f>MONTH(ТабПозиции[[#This Row],[date]])&amp;"/"&amp;YEAR(ТабПозиции[[#This Row],[date]])</f>
        <v>5/2024</v>
      </c>
      <c r="D442" s="1" t="str">
        <f>IFERROR(VLOOKUP(ТабПозиции[[#This Row],[orderNum]],ТабЗаказы[#Data],MATCH(D$7,ТабЗаказы[#Headers],0),0),"")</f>
        <v/>
      </c>
      <c r="E442" s="1" t="str">
        <f>IFERROR(VLOOKUP(ТабПозиции[[#This Row],[orderNum]],ТабЗаказы[#Data],MATCH(E$7,ТабЗаказы[#Headers],0),0),"")</f>
        <v/>
      </c>
      <c r="F442" s="16" t="s">
        <v>954</v>
      </c>
      <c r="G442" s="40" t="s">
        <v>545</v>
      </c>
      <c r="I442" s="18">
        <v>45452</v>
      </c>
      <c r="J442" s="10">
        <v>1</v>
      </c>
      <c r="K442" s="10">
        <v>650</v>
      </c>
      <c r="L442">
        <v>650</v>
      </c>
      <c r="M442" s="10">
        <v>650</v>
      </c>
      <c r="N442">
        <f t="shared" si="8"/>
        <v>650</v>
      </c>
      <c r="O442" s="10">
        <v>109</v>
      </c>
      <c r="P4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Row],[orderNum]],ТабПозиции[orderSumm])&gt;1500),ABS(N442*VLOOKUP(ТабПозиции[[#This Row],[orderNum]],ТабЗаказы[#Data],MATCH("Percent",ТабЗаказы[#Headers],0),0))/100,200/COUNTIF(ТабПозиции[orderNum],ТабПозиции[[#This Row],[orderNum]])),0),"")</f>
        <v>98</v>
      </c>
      <c r="Q442">
        <f>IF(OR(ТабПозиции[[#This Row],[item]]="По штрихкоду",ТабПозиции[[#This Row],[item]]="Посылка"),ТабПозиции[[#This Row],[deliverySumm]]+ТабПозиции[[#This Row],[deliveryPost]],SUM(N442:P442))</f>
        <v>857</v>
      </c>
      <c r="R442" s="41">
        <v>857</v>
      </c>
      <c r="S442" s="46">
        <f>ТабПозиции[[#This Row],[totalSumm]]-ТабПозиции[[#This Row],[payment]]</f>
        <v>0</v>
      </c>
      <c r="T442" s="18" t="s">
        <v>617</v>
      </c>
      <c r="U442" s="40" t="s">
        <v>545</v>
      </c>
      <c r="V442" s="40" t="s">
        <v>545</v>
      </c>
      <c r="W442" s="40" t="s">
        <v>545</v>
      </c>
      <c r="X442" s="3"/>
      <c r="Y442"/>
    </row>
    <row r="443" spans="1:25" hidden="1" x14ac:dyDescent="0.25">
      <c r="A443" s="10">
        <v>70</v>
      </c>
      <c r="B443" s="1">
        <f>IFERROR(VLOOKUP(ТабПозиции[[#This Row],[orderNum]],ТабЗаказы[#Data],MATCH(B$7,ТабЗаказы[#Headers],0),0),"")</f>
        <v>45443</v>
      </c>
      <c r="C443" t="str">
        <f>MONTH(ТабПозиции[[#This Row],[date]])&amp;"/"&amp;YEAR(ТабПозиции[[#This Row],[date]])</f>
        <v>5/2024</v>
      </c>
      <c r="D443" s="1" t="str">
        <f>IFERROR(VLOOKUP(ТабПозиции[[#This Row],[orderNum]],ТабЗаказы[#Data],MATCH(D$7,ТабЗаказы[#Headers],0),0),"")</f>
        <v/>
      </c>
      <c r="E443" s="1" t="str">
        <f>IFERROR(VLOOKUP(ТабПозиции[[#This Row],[orderNum]],ТабЗаказы[#Data],MATCH(E$7,ТабЗаказы[#Headers],0),0),"")</f>
        <v/>
      </c>
      <c r="F443" s="16" t="s">
        <v>955</v>
      </c>
      <c r="G443" s="40" t="s">
        <v>545</v>
      </c>
      <c r="H443" s="12" t="s">
        <v>956</v>
      </c>
      <c r="I443" s="18">
        <v>45452</v>
      </c>
      <c r="J443" s="10">
        <v>1</v>
      </c>
      <c r="K443" s="10">
        <f>650+650*0.1</f>
        <v>715</v>
      </c>
      <c r="L443">
        <v>715</v>
      </c>
      <c r="M443" s="10">
        <f>650+650*0.1</f>
        <v>715</v>
      </c>
      <c r="N443">
        <f t="shared" si="8"/>
        <v>715</v>
      </c>
      <c r="O443" s="10">
        <v>109</v>
      </c>
      <c r="P4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Row],[orderNum]],ТабПозиции[orderSumm])&gt;1500),ABS(N443*VLOOKUP(ТабПозиции[[#This Row],[orderNum]],ТабЗаказы[#Data],MATCH("Percent",ТабЗаказы[#Headers],0),0))/100,200/COUNTIF(ТабПозиции[orderNum],ТабПозиции[[#This Row],[orderNum]])),0),"")</f>
        <v>107</v>
      </c>
      <c r="Q443">
        <f>IF(OR(ТабПозиции[[#This Row],[item]]="По штрихкоду",ТабПозиции[[#This Row],[item]]="Посылка"),ТабПозиции[[#This Row],[deliverySumm]]+ТабПозиции[[#This Row],[deliveryPost]],SUM(N443:P443))</f>
        <v>931</v>
      </c>
      <c r="R443" s="41">
        <v>931</v>
      </c>
      <c r="S443" s="46">
        <f>ТабПозиции[[#This Row],[totalSumm]]-ТабПозиции[[#This Row],[payment]]</f>
        <v>0</v>
      </c>
      <c r="T443" s="18" t="s">
        <v>617</v>
      </c>
      <c r="U443" s="40" t="s">
        <v>545</v>
      </c>
      <c r="V443" s="40" t="s">
        <v>545</v>
      </c>
      <c r="W443" s="40" t="s">
        <v>545</v>
      </c>
      <c r="X443" s="3"/>
      <c r="Y443"/>
    </row>
    <row r="444" spans="1:25" hidden="1" x14ac:dyDescent="0.25">
      <c r="A444" s="10">
        <v>115</v>
      </c>
      <c r="B444" s="1">
        <f>IFERROR(VLOOKUP(ТабПозиции[[#This Row],[orderNum]],ТабЗаказы[#Data],MATCH(B$7,ТабЗаказы[#Headers],0),0),"")</f>
        <v>45443</v>
      </c>
      <c r="C444" t="str">
        <f>MONTH(ТабПозиции[[#This Row],[date]])&amp;"/"&amp;YEAR(ТабПозиции[[#This Row],[date]])</f>
        <v>5/2024</v>
      </c>
      <c r="D444" s="1" t="str">
        <f>IFERROR(VLOOKUP(ТабПозиции[[#This Row],[orderNum]],ТабЗаказы[#Data],MATCH(D$7,ТабЗаказы[#Headers],0),0),"")</f>
        <v/>
      </c>
      <c r="E444" s="1" t="str">
        <f>IFERROR(VLOOKUP(ТабПозиции[[#This Row],[orderNum]],ТабЗаказы[#Data],MATCH(E$7,ТабЗаказы[#Headers],0),0),"")</f>
        <v/>
      </c>
      <c r="F444" s="16" t="s">
        <v>957</v>
      </c>
      <c r="G444" s="40" t="s">
        <v>545</v>
      </c>
      <c r="I444" s="18">
        <v>45448</v>
      </c>
      <c r="J444" s="10">
        <v>1</v>
      </c>
      <c r="K444" s="22">
        <v>2477</v>
      </c>
      <c r="L444">
        <v>2477</v>
      </c>
      <c r="M444" s="10">
        <v>2608</v>
      </c>
      <c r="N444">
        <f t="shared" si="8"/>
        <v>2608</v>
      </c>
      <c r="O444" s="10">
        <v>1</v>
      </c>
      <c r="P4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Row],[orderNum]],ТабПозиции[orderSumm])&gt;1500),ABS(N444*VLOOKUP(ТабПозиции[[#This Row],[orderNum]],ТабЗаказы[#Data],MATCH("Percent",ТабЗаказы[#Headers],0),0))/100,200/COUNTIF(ТабПозиции[orderNum],ТабПозиции[[#This Row],[orderNum]])),0),"")</f>
        <v>261</v>
      </c>
      <c r="Q444">
        <f>IF(OR(ТабПозиции[[#This Row],[item]]="По штрихкоду",ТабПозиции[[#This Row],[item]]="Посылка"),ТабПозиции[[#This Row],[deliverySumm]]+ТабПозиции[[#This Row],[deliveryPost]],SUM(N444:P444))</f>
        <v>2870</v>
      </c>
      <c r="R444" s="41">
        <v>2870</v>
      </c>
      <c r="S444" s="46">
        <f>ТабПозиции[[#This Row],[totalSumm]]-ТабПозиции[[#This Row],[payment]]</f>
        <v>0</v>
      </c>
      <c r="T444" s="18" t="s">
        <v>563</v>
      </c>
      <c r="U444" s="40" t="s">
        <v>545</v>
      </c>
      <c r="V444" s="40" t="s">
        <v>545</v>
      </c>
      <c r="W444" s="40" t="s">
        <v>545</v>
      </c>
      <c r="X444" s="3"/>
      <c r="Y444"/>
    </row>
    <row r="445" spans="1:25" hidden="1" x14ac:dyDescent="0.25">
      <c r="A445" s="10">
        <v>115</v>
      </c>
      <c r="B445" s="1">
        <f>IFERROR(VLOOKUP(ТабПозиции[[#This Row],[orderNum]],ТабЗаказы[#Data],MATCH(B$7,ТабЗаказы[#Headers],0),0),"")</f>
        <v>45443</v>
      </c>
      <c r="C445" t="str">
        <f>MONTH(ТабПозиции[[#This Row],[date]])&amp;"/"&amp;YEAR(ТабПозиции[[#This Row],[date]])</f>
        <v>5/2024</v>
      </c>
      <c r="D445" s="1" t="str">
        <f>IFERROR(VLOOKUP(ТабПозиции[[#This Row],[orderNum]],ТабЗаказы[#Data],MATCH(D$7,ТабЗаказы[#Headers],0),0),"")</f>
        <v/>
      </c>
      <c r="E445" s="1" t="str">
        <f>IFERROR(VLOOKUP(ТабПозиции[[#This Row],[orderNum]],ТабЗаказы[#Data],MATCH(E$7,ТабЗаказы[#Headers],0),0),"")</f>
        <v/>
      </c>
      <c r="F445" s="16" t="s">
        <v>958</v>
      </c>
      <c r="G445" s="40" t="s">
        <v>545</v>
      </c>
      <c r="I445" s="18">
        <v>45446</v>
      </c>
      <c r="J445" s="10">
        <v>1</v>
      </c>
      <c r="K445" s="22">
        <v>834</v>
      </c>
      <c r="L445">
        <v>834</v>
      </c>
      <c r="M445" s="10">
        <v>878</v>
      </c>
      <c r="N445">
        <f t="shared" si="8"/>
        <v>878</v>
      </c>
      <c r="O445" s="10">
        <v>190</v>
      </c>
      <c r="P4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Row],[orderNum]],ТабПозиции[orderSumm])&gt;1500),ABS(N445*VLOOKUP(ТабПозиции[[#This Row],[orderNum]],ТабЗаказы[#Data],MATCH("Percent",ТабЗаказы[#Headers],0),0))/100,200/COUNTIF(ТабПозиции[orderNum],ТабПозиции[[#This Row],[orderNum]])),0),"")</f>
        <v>88</v>
      </c>
      <c r="Q445">
        <f>IF(OR(ТабПозиции[[#This Row],[item]]="По штрихкоду",ТабПозиции[[#This Row],[item]]="Посылка"),ТабПозиции[[#This Row],[deliverySumm]]+ТабПозиции[[#This Row],[deliveryPost]],SUM(N445:P445))</f>
        <v>1156</v>
      </c>
      <c r="R445" s="41">
        <v>1156</v>
      </c>
      <c r="S445" s="46">
        <f>ТабПозиции[[#This Row],[totalSumm]]-ТабПозиции[[#This Row],[payment]]</f>
        <v>0</v>
      </c>
      <c r="T445" s="18" t="s">
        <v>563</v>
      </c>
      <c r="U445" s="40" t="s">
        <v>545</v>
      </c>
      <c r="V445" s="40" t="s">
        <v>545</v>
      </c>
      <c r="W445" s="40" t="s">
        <v>545</v>
      </c>
      <c r="X445" s="3"/>
      <c r="Y445"/>
    </row>
    <row r="446" spans="1:25" hidden="1" x14ac:dyDescent="0.25">
      <c r="A446" s="10">
        <v>115</v>
      </c>
      <c r="B446" s="1">
        <f>IFERROR(VLOOKUP(ТабПозиции[[#This Row],[orderNum]],ТабЗаказы[#Data],MATCH(B$7,ТабЗаказы[#Headers],0),0),"")</f>
        <v>45443</v>
      </c>
      <c r="C446" t="str">
        <f>MONTH(ТабПозиции[[#This Row],[date]])&amp;"/"&amp;YEAR(ТабПозиции[[#This Row],[date]])</f>
        <v>5/2024</v>
      </c>
      <c r="D446" s="1" t="str">
        <f>IFERROR(VLOOKUP(ТабПозиции[[#This Row],[orderNum]],ТабЗаказы[#Data],MATCH(D$7,ТабЗаказы[#Headers],0),0),"")</f>
        <v/>
      </c>
      <c r="E446" s="1" t="str">
        <f>IFERROR(VLOOKUP(ТабПозиции[[#This Row],[orderNum]],ТабЗаказы[#Data],MATCH(E$7,ТабЗаказы[#Headers],0),0),"")</f>
        <v/>
      </c>
      <c r="F446" s="16" t="s">
        <v>959</v>
      </c>
      <c r="G446" s="40" t="s">
        <v>545</v>
      </c>
      <c r="I446" s="18">
        <v>45446</v>
      </c>
      <c r="J446" s="10">
        <v>1</v>
      </c>
      <c r="K446" s="10">
        <v>284</v>
      </c>
      <c r="L446">
        <v>284</v>
      </c>
      <c r="M446" s="10">
        <v>284</v>
      </c>
      <c r="N446">
        <f t="shared" si="8"/>
        <v>284</v>
      </c>
      <c r="O446" s="10">
        <v>138</v>
      </c>
      <c r="P4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Row],[orderNum]],ТабПозиции[orderSumm])&gt;1500),ABS(N446*VLOOKUP(ТабПозиции[[#This Row],[orderNum]],ТабЗаказы[#Data],MATCH("Percent",ТабЗаказы[#Headers],0),0))/100,200/COUNTIF(ТабПозиции[orderNum],ТабПозиции[[#This Row],[orderNum]])),0),"")</f>
        <v>28</v>
      </c>
      <c r="Q446">
        <f>IF(OR(ТабПозиции[[#This Row],[item]]="По штрихкоду",ТабПозиции[[#This Row],[item]]="Посылка"),ТабПозиции[[#This Row],[deliverySumm]]+ТабПозиции[[#This Row],[deliveryPost]],SUM(N446:P446))</f>
        <v>450</v>
      </c>
      <c r="R446" s="41">
        <v>450</v>
      </c>
      <c r="S446" s="46">
        <f>ТабПозиции[[#This Row],[totalSumm]]-ТабПозиции[[#This Row],[payment]]</f>
        <v>0</v>
      </c>
      <c r="T446" s="18" t="s">
        <v>960</v>
      </c>
      <c r="U446" s="40" t="s">
        <v>545</v>
      </c>
      <c r="V446" s="40" t="s">
        <v>545</v>
      </c>
      <c r="W446" s="40" t="s">
        <v>545</v>
      </c>
      <c r="X446" s="3"/>
      <c r="Y446"/>
    </row>
    <row r="447" spans="1:25" hidden="1" x14ac:dyDescent="0.25">
      <c r="A447" s="10">
        <v>117</v>
      </c>
      <c r="B447" s="1">
        <f>IFERROR(VLOOKUP(ТабПозиции[[#This Row],[orderNum]],ТабЗаказы[#Data],MATCH(B$7,ТабЗаказы[#Headers],0),0),"")</f>
        <v>45443</v>
      </c>
      <c r="C447" t="str">
        <f>MONTH(ТабПозиции[[#This Row],[date]])&amp;"/"&amp;YEAR(ТабПозиции[[#This Row],[date]])</f>
        <v>5/2024</v>
      </c>
      <c r="D447" s="1" t="str">
        <f>IFERROR(VLOOKUP(ТабПозиции[[#This Row],[orderNum]],ТабЗаказы[#Data],MATCH(D$7,ТабЗаказы[#Headers],0),0),"")</f>
        <v/>
      </c>
      <c r="E447" s="1" t="str">
        <f>IFERROR(VLOOKUP(ТабПозиции[[#This Row],[orderNum]],ТабЗаказы[#Data],MATCH(E$7,ТабЗаказы[#Headers],0),0),"")</f>
        <v/>
      </c>
      <c r="F447" s="10" t="s">
        <v>820</v>
      </c>
      <c r="G447" s="40" t="s">
        <v>545</v>
      </c>
      <c r="I447" s="18">
        <v>45443</v>
      </c>
      <c r="J447" s="10">
        <v>1</v>
      </c>
      <c r="K447" s="10">
        <v>3990</v>
      </c>
      <c r="L447">
        <v>3990</v>
      </c>
      <c r="M447" s="10">
        <v>3990</v>
      </c>
      <c r="N447">
        <f t="shared" si="8"/>
        <v>3990</v>
      </c>
      <c r="O447" s="10">
        <v>741</v>
      </c>
      <c r="P4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Row],[orderNum]],ТабПозиции[orderSumm])&gt;1500),ABS(N447*VLOOKUP(ТабПозиции[[#This Row],[orderNum]],ТабЗаказы[#Data],MATCH("Percent",ТабЗаказы[#Headers],0),0))/100,200/COUNTIF(ТабПозиции[orderNum],ТабПозиции[[#This Row],[orderNum]])),0),"")</f>
        <v>399</v>
      </c>
      <c r="Q447">
        <f>IF(OR(ТабПозиции[[#This Row],[item]]="По штрихкоду",ТабПозиции[[#This Row],[item]]="Посылка"),ТабПозиции[[#This Row],[deliverySumm]]+ТабПозиции[[#This Row],[deliveryPost]],SUM(N447:P447))</f>
        <v>1140</v>
      </c>
      <c r="R447" s="41">
        <v>1140</v>
      </c>
      <c r="S447" s="46">
        <f>ТабПозиции[[#This Row],[totalSumm]]-ТабПозиции[[#This Row],[payment]]</f>
        <v>0</v>
      </c>
      <c r="T447" s="18" t="s">
        <v>676</v>
      </c>
      <c r="U447" s="40" t="s">
        <v>545</v>
      </c>
      <c r="V447" s="40" t="s">
        <v>545</v>
      </c>
      <c r="W447" s="40" t="s">
        <v>545</v>
      </c>
      <c r="X447" s="3"/>
      <c r="Y447"/>
    </row>
    <row r="448" spans="1:25" hidden="1" x14ac:dyDescent="0.25">
      <c r="A448" s="10">
        <v>119</v>
      </c>
      <c r="B448" s="1">
        <f>IFERROR(VLOOKUP(ТабПозиции[[#This Row],[orderNum]],ТабЗаказы[#Data],MATCH(B$7,ТабЗаказы[#Headers],0),0),"")</f>
        <v>45444</v>
      </c>
      <c r="C448" t="str">
        <f>MONTH(ТабПозиции[[#This Row],[date]])&amp;"/"&amp;YEAR(ТабПозиции[[#This Row],[date]])</f>
        <v>6/2024</v>
      </c>
      <c r="D448" s="1" t="str">
        <f>IFERROR(VLOOKUP(ТабПозиции[[#This Row],[orderNum]],ТабЗаказы[#Data],MATCH(D$7,ТабЗаказы[#Headers],0),0),"")</f>
        <v/>
      </c>
      <c r="E448" s="1" t="str">
        <f>IFERROR(VLOOKUP(ТабПозиции[[#This Row],[orderNum]],ТабЗаказы[#Data],MATCH(E$7,ТабЗаказы[#Headers],0),0),"")</f>
        <v/>
      </c>
      <c r="F448" s="16" t="s">
        <v>961</v>
      </c>
      <c r="G448" s="40" t="s">
        <v>545</v>
      </c>
      <c r="I448" s="18">
        <v>45446</v>
      </c>
      <c r="J448" s="10">
        <v>1</v>
      </c>
      <c r="K448" s="10">
        <v>118</v>
      </c>
      <c r="L448">
        <v>118</v>
      </c>
      <c r="M448" s="10">
        <v>120</v>
      </c>
      <c r="N448">
        <f t="shared" si="8"/>
        <v>120</v>
      </c>
      <c r="P4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Row],[orderNum]],ТабПозиции[orderSumm])&gt;1500),ABS(N448*VLOOKUP(ТабПозиции[[#This Row],[orderNum]],ТабЗаказы[#Data],MATCH("Percent",ТабЗаказы[#Headers],0),0))/100,200/COUNTIF(ТабПозиции[orderNum],ТабПозиции[[#This Row],[orderNum]])),0),"")</f>
        <v>18</v>
      </c>
      <c r="Q448">
        <f>IF(OR(ТабПозиции[[#This Row],[item]]="По штрихкоду",ТабПозиции[[#This Row],[item]]="Посылка"),ТабПозиции[[#This Row],[deliverySumm]]+ТабПозиции[[#This Row],[deliveryPost]],SUM(N448:P448))</f>
        <v>138</v>
      </c>
      <c r="R448" s="41">
        <v>138</v>
      </c>
      <c r="S448" s="46">
        <f>ТабПозиции[[#This Row],[totalSumm]]-ТабПозиции[[#This Row],[payment]]</f>
        <v>0</v>
      </c>
      <c r="T448" s="18" t="s">
        <v>580</v>
      </c>
      <c r="U448" s="40" t="s">
        <v>545</v>
      </c>
      <c r="V448" s="40" t="s">
        <v>545</v>
      </c>
      <c r="W448" s="40" t="s">
        <v>545</v>
      </c>
      <c r="X448" s="3"/>
      <c r="Y448"/>
    </row>
    <row r="449" spans="1:25" hidden="1" x14ac:dyDescent="0.25">
      <c r="A449" s="10">
        <v>119</v>
      </c>
      <c r="B449" s="1">
        <f>IFERROR(VLOOKUP(ТабПозиции[[#This Row],[orderNum]],ТабЗаказы[#Data],MATCH(B$7,ТабЗаказы[#Headers],0),0),"")</f>
        <v>45444</v>
      </c>
      <c r="C449" t="str">
        <f>MONTH(ТабПозиции[[#This Row],[date]])&amp;"/"&amp;YEAR(ТабПозиции[[#This Row],[date]])</f>
        <v>6/2024</v>
      </c>
      <c r="D449" s="1" t="str">
        <f>IFERROR(VLOOKUP(ТабПозиции[[#This Row],[orderNum]],ТабЗаказы[#Data],MATCH(D$7,ТабЗаказы[#Headers],0),0),"")</f>
        <v/>
      </c>
      <c r="E449" s="1" t="str">
        <f>IFERROR(VLOOKUP(ТабПозиции[[#This Row],[orderNum]],ТабЗаказы[#Data],MATCH(E$7,ТабЗаказы[#Headers],0),0),"")</f>
        <v/>
      </c>
      <c r="F449" s="16" t="s">
        <v>962</v>
      </c>
      <c r="G449" s="40" t="s">
        <v>545</v>
      </c>
      <c r="I449" s="18">
        <v>45446</v>
      </c>
      <c r="J449" s="10">
        <v>1</v>
      </c>
      <c r="K449" s="10">
        <v>118</v>
      </c>
      <c r="L449">
        <v>118</v>
      </c>
      <c r="M449" s="10">
        <v>120</v>
      </c>
      <c r="N449">
        <f t="shared" si="8"/>
        <v>120</v>
      </c>
      <c r="P4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Row],[orderNum]],ТабПозиции[orderSumm])&gt;1500),ABS(N449*VLOOKUP(ТабПозиции[[#This Row],[orderNum]],ТабЗаказы[#Data],MATCH("Percent",ТабЗаказы[#Headers],0),0))/100,200/COUNTIF(ТабПозиции[orderNum],ТабПозиции[[#This Row],[orderNum]])),0),"")</f>
        <v>18</v>
      </c>
      <c r="Q449">
        <f>IF(OR(ТабПозиции[[#This Row],[item]]="По штрихкоду",ТабПозиции[[#This Row],[item]]="Посылка"),ТабПозиции[[#This Row],[deliverySumm]]+ТабПозиции[[#This Row],[deliveryPost]],SUM(N449:P449))</f>
        <v>138</v>
      </c>
      <c r="R449" s="41">
        <v>138</v>
      </c>
      <c r="S449" s="46">
        <f>ТабПозиции[[#This Row],[totalSumm]]-ТабПозиции[[#This Row],[payment]]</f>
        <v>0</v>
      </c>
      <c r="T449" s="18" t="s">
        <v>580</v>
      </c>
      <c r="U449" s="40" t="s">
        <v>545</v>
      </c>
      <c r="V449" s="40" t="s">
        <v>545</v>
      </c>
      <c r="W449" s="40" t="s">
        <v>545</v>
      </c>
      <c r="X449" s="3"/>
      <c r="Y449"/>
    </row>
    <row r="450" spans="1:25" hidden="1" x14ac:dyDescent="0.25">
      <c r="A450" s="10">
        <v>119</v>
      </c>
      <c r="B450" s="1">
        <f>IFERROR(VLOOKUP(ТабПозиции[[#This Row],[orderNum]],ТабЗаказы[#Data],MATCH(B$7,ТабЗаказы[#Headers],0),0),"")</f>
        <v>45444</v>
      </c>
      <c r="C450" t="str">
        <f>MONTH(ТабПозиции[[#This Row],[date]])&amp;"/"&amp;YEAR(ТабПозиции[[#This Row],[date]])</f>
        <v>6/2024</v>
      </c>
      <c r="D450" s="1" t="str">
        <f>IFERROR(VLOOKUP(ТабПозиции[[#This Row],[orderNum]],ТабЗаказы[#Data],MATCH(D$7,ТабЗаказы[#Headers],0),0),"")</f>
        <v/>
      </c>
      <c r="E450" s="1" t="str">
        <f>IFERROR(VLOOKUP(ТабПозиции[[#This Row],[orderNum]],ТабЗаказы[#Data],MATCH(E$7,ТабЗаказы[#Headers],0),0),"")</f>
        <v/>
      </c>
      <c r="F450" s="16" t="s">
        <v>963</v>
      </c>
      <c r="G450" s="40" t="s">
        <v>545</v>
      </c>
      <c r="I450" s="18">
        <v>45450</v>
      </c>
      <c r="J450" s="10">
        <v>1</v>
      </c>
      <c r="K450" s="10">
        <v>311</v>
      </c>
      <c r="L450">
        <v>311</v>
      </c>
      <c r="M450" s="10">
        <v>317</v>
      </c>
      <c r="N450">
        <f t="shared" si="8"/>
        <v>317</v>
      </c>
      <c r="P4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Row],[orderNum]],ТабПозиции[orderSumm])&gt;1500),ABS(N450*VLOOKUP(ТабПозиции[[#This Row],[orderNum]],ТабЗаказы[#Data],MATCH("Percent",ТабЗаказы[#Headers],0),0))/100,200/COUNTIF(ТабПозиции[orderNum],ТабПозиции[[#This Row],[orderNum]])),0),"")</f>
        <v>48</v>
      </c>
      <c r="Q450">
        <f>IF(OR(ТабПозиции[[#This Row],[item]]="По штрихкоду",ТабПозиции[[#This Row],[item]]="Посылка"),ТабПозиции[[#This Row],[deliverySumm]]+ТабПозиции[[#This Row],[deliveryPost]],SUM(N450:P450))</f>
        <v>365</v>
      </c>
      <c r="R450" s="41">
        <v>365</v>
      </c>
      <c r="S450" s="46">
        <f>ТабПозиции[[#This Row],[totalSumm]]-ТабПозиции[[#This Row],[payment]]</f>
        <v>0</v>
      </c>
      <c r="T450" s="18" t="s">
        <v>580</v>
      </c>
      <c r="U450" s="40" t="s">
        <v>545</v>
      </c>
      <c r="V450" s="40" t="s">
        <v>545</v>
      </c>
      <c r="W450" s="40" t="s">
        <v>545</v>
      </c>
      <c r="X450" s="3"/>
      <c r="Y450"/>
    </row>
    <row r="451" spans="1:25" hidden="1" x14ac:dyDescent="0.25">
      <c r="A451" s="10">
        <v>119</v>
      </c>
      <c r="B451" s="1">
        <f>IFERROR(VLOOKUP(ТабПозиции[[#This Row],[orderNum]],ТабЗаказы[#Data],MATCH(B$7,ТабЗаказы[#Headers],0),0),"")</f>
        <v>45444</v>
      </c>
      <c r="C451" t="str">
        <f>MONTH(ТабПозиции[[#This Row],[date]])&amp;"/"&amp;YEAR(ТабПозиции[[#This Row],[date]])</f>
        <v>6/2024</v>
      </c>
      <c r="D451" s="1" t="str">
        <f>IFERROR(VLOOKUP(ТабПозиции[[#This Row],[orderNum]],ТабЗаказы[#Data],MATCH(D$7,ТабЗаказы[#Headers],0),0),"")</f>
        <v/>
      </c>
      <c r="E451" s="1" t="str">
        <f>IFERROR(VLOOKUP(ТабПозиции[[#This Row],[orderNum]],ТабЗаказы[#Data],MATCH(E$7,ТабЗаказы[#Headers],0),0),"")</f>
        <v/>
      </c>
      <c r="F451" s="16" t="s">
        <v>964</v>
      </c>
      <c r="G451" s="40" t="s">
        <v>545</v>
      </c>
      <c r="I451" s="18">
        <v>414</v>
      </c>
      <c r="J451" s="10">
        <v>1</v>
      </c>
      <c r="K451" s="10">
        <v>414</v>
      </c>
      <c r="L451">
        <v>414</v>
      </c>
      <c r="M451" s="10">
        <v>463</v>
      </c>
      <c r="N451">
        <f t="shared" si="8"/>
        <v>463</v>
      </c>
      <c r="P4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Row],[orderNum]],ТабПозиции[orderSumm])&gt;1500),ABS(N451*VLOOKUP(ТабПозиции[[#This Row],[orderNum]],ТабЗаказы[#Data],MATCH("Percent",ТабЗаказы[#Headers],0),0))/100,200/COUNTIF(ТабПозиции[orderNum],ТабПозиции[[#This Row],[orderNum]])),0),"")</f>
        <v>69</v>
      </c>
      <c r="Q451">
        <f>IF(OR(ТабПозиции[[#This Row],[item]]="По штрихкоду",ТабПозиции[[#This Row],[item]]="Посылка"),ТабПозиции[[#This Row],[deliverySumm]]+ТабПозиции[[#This Row],[deliveryPost]],SUM(N451:P451))</f>
        <v>532</v>
      </c>
      <c r="R451" s="41">
        <v>532</v>
      </c>
      <c r="S451" s="46">
        <f>ТабПозиции[[#This Row],[totalSumm]]-ТабПозиции[[#This Row],[payment]]</f>
        <v>0</v>
      </c>
      <c r="T451" s="18" t="s">
        <v>580</v>
      </c>
      <c r="U451" s="40" t="s">
        <v>545</v>
      </c>
      <c r="V451" s="40" t="s">
        <v>545</v>
      </c>
      <c r="W451" s="40" t="s">
        <v>545</v>
      </c>
      <c r="X451" s="3"/>
      <c r="Y451"/>
    </row>
    <row r="452" spans="1:25" hidden="1" x14ac:dyDescent="0.25">
      <c r="A452" s="10">
        <v>119</v>
      </c>
      <c r="B452" s="1">
        <f>IFERROR(VLOOKUP(ТабПозиции[[#This Row],[orderNum]],ТабЗаказы[#Data],MATCH(B$7,ТабЗаказы[#Headers],0),0),"")</f>
        <v>45444</v>
      </c>
      <c r="C452" t="str">
        <f>MONTH(ТабПозиции[[#This Row],[date]])&amp;"/"&amp;YEAR(ТабПозиции[[#This Row],[date]])</f>
        <v>6/2024</v>
      </c>
      <c r="D452" s="1" t="str">
        <f>IFERROR(VLOOKUP(ТабПозиции[[#This Row],[orderNum]],ТабЗаказы[#Data],MATCH(D$7,ТабЗаказы[#Headers],0),0),"")</f>
        <v/>
      </c>
      <c r="E452" s="1" t="str">
        <f>IFERROR(VLOOKUP(ТабПозиции[[#This Row],[orderNum]],ТабЗаказы[#Data],MATCH(E$7,ТабЗаказы[#Headers],0),0),"")</f>
        <v/>
      </c>
      <c r="F452" s="16" t="s">
        <v>965</v>
      </c>
      <c r="G452" s="40" t="s">
        <v>545</v>
      </c>
      <c r="I452" s="18">
        <v>45446</v>
      </c>
      <c r="J452" s="10">
        <v>1</v>
      </c>
      <c r="K452" s="10">
        <v>244</v>
      </c>
      <c r="L452">
        <v>244</v>
      </c>
      <c r="M452" s="10">
        <v>249</v>
      </c>
      <c r="N452">
        <f t="shared" si="8"/>
        <v>249</v>
      </c>
      <c r="P4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Row],[orderNum]],ТабПозиции[orderSumm])&gt;1500),ABS(N452*VLOOKUP(ТабПозиции[[#This Row],[orderNum]],ТабЗаказы[#Data],MATCH("Percent",ТабЗаказы[#Headers],0),0))/100,200/COUNTIF(ТабПозиции[orderNum],ТабПозиции[[#This Row],[orderNum]])),0),"")</f>
        <v>37</v>
      </c>
      <c r="Q452">
        <f>IF(OR(ТабПозиции[[#This Row],[item]]="По штрихкоду",ТабПозиции[[#This Row],[item]]="Посылка"),ТабПозиции[[#This Row],[deliverySumm]]+ТабПозиции[[#This Row],[deliveryPost]],SUM(N452:P452))</f>
        <v>286</v>
      </c>
      <c r="R452" s="41">
        <v>286</v>
      </c>
      <c r="S452" s="46">
        <f>ТабПозиции[[#This Row],[totalSumm]]-ТабПозиции[[#This Row],[payment]]</f>
        <v>0</v>
      </c>
      <c r="T452" s="18" t="s">
        <v>580</v>
      </c>
      <c r="U452" s="40" t="s">
        <v>545</v>
      </c>
      <c r="V452" s="40" t="s">
        <v>545</v>
      </c>
      <c r="W452" s="40" t="s">
        <v>545</v>
      </c>
      <c r="X452" s="3"/>
      <c r="Y452"/>
    </row>
    <row r="453" spans="1:25" hidden="1" x14ac:dyDescent="0.25">
      <c r="A453" s="10">
        <v>119</v>
      </c>
      <c r="B453" s="1">
        <f>IFERROR(VLOOKUP(ТабПозиции[[#This Row],[orderNum]],ТабЗаказы[#Data],MATCH(B$7,ТабЗаказы[#Headers],0),0),"")</f>
        <v>45444</v>
      </c>
      <c r="C453" t="str">
        <f>MONTH(ТабПозиции[[#This Row],[date]])&amp;"/"&amp;YEAR(ТабПозиции[[#This Row],[date]])</f>
        <v>6/2024</v>
      </c>
      <c r="D453" s="1" t="str">
        <f>IFERROR(VLOOKUP(ТабПозиции[[#This Row],[orderNum]],ТабЗаказы[#Data],MATCH(D$7,ТабЗаказы[#Headers],0),0),"")</f>
        <v/>
      </c>
      <c r="E453" s="1" t="str">
        <f>IFERROR(VLOOKUP(ТабПозиции[[#This Row],[orderNum]],ТабЗаказы[#Data],MATCH(E$7,ТабЗаказы[#Headers],0),0),"")</f>
        <v/>
      </c>
      <c r="F453" s="16" t="s">
        <v>966</v>
      </c>
      <c r="G453" s="40" t="s">
        <v>545</v>
      </c>
      <c r="I453" s="18">
        <v>45445</v>
      </c>
      <c r="J453" s="10">
        <v>1</v>
      </c>
      <c r="K453" s="23">
        <v>261</v>
      </c>
      <c r="L453">
        <v>261</v>
      </c>
      <c r="M453" s="10">
        <v>275</v>
      </c>
      <c r="N453">
        <f t="shared" si="8"/>
        <v>275</v>
      </c>
      <c r="P4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Row],[orderNum]],ТабПозиции[orderSumm])&gt;1500),ABS(N453*VLOOKUP(ТабПозиции[[#This Row],[orderNum]],ТабЗаказы[#Data],MATCH("Percent",ТабЗаказы[#Headers],0),0))/100,200/COUNTIF(ТабПозиции[orderNum],ТабПозиции[[#This Row],[orderNum]])),0),"")</f>
        <v>41</v>
      </c>
      <c r="Q453">
        <f>IF(OR(ТабПозиции[[#This Row],[item]]="По штрихкоду",ТабПозиции[[#This Row],[item]]="Посылка"),ТабПозиции[[#This Row],[deliverySumm]]+ТабПозиции[[#This Row],[deliveryPost]],SUM(N453:P453))</f>
        <v>316</v>
      </c>
      <c r="R453" s="41">
        <v>316</v>
      </c>
      <c r="S453" s="46">
        <f>ТабПозиции[[#This Row],[totalSumm]]-ТабПозиции[[#This Row],[payment]]</f>
        <v>0</v>
      </c>
      <c r="T453" s="18" t="s">
        <v>563</v>
      </c>
      <c r="U453" s="40" t="s">
        <v>545</v>
      </c>
      <c r="V453" s="40" t="s">
        <v>545</v>
      </c>
      <c r="W453" s="40" t="s">
        <v>545</v>
      </c>
      <c r="X453" s="3"/>
      <c r="Y453"/>
    </row>
    <row r="454" spans="1:25" hidden="1" x14ac:dyDescent="0.25">
      <c r="A454" s="10">
        <v>119</v>
      </c>
      <c r="B454" s="1">
        <f>IFERROR(VLOOKUP(ТабПозиции[[#This Row],[orderNum]],ТабЗаказы[#Data],MATCH(B$7,ТабЗаказы[#Headers],0),0),"")</f>
        <v>45444</v>
      </c>
      <c r="C454" t="str">
        <f>MONTH(ТабПозиции[[#This Row],[date]])&amp;"/"&amp;YEAR(ТабПозиции[[#This Row],[date]])</f>
        <v>6/2024</v>
      </c>
      <c r="D454" s="1" t="str">
        <f>IFERROR(VLOOKUP(ТабПозиции[[#This Row],[orderNum]],ТабЗаказы[#Data],MATCH(D$7,ТабЗаказы[#Headers],0),0),"")</f>
        <v/>
      </c>
      <c r="E454" s="1" t="str">
        <f>IFERROR(VLOOKUP(ТабПозиции[[#This Row],[orderNum]],ТабЗаказы[#Data],MATCH(E$7,ТабЗаказы[#Headers],0),0),"")</f>
        <v/>
      </c>
      <c r="F454" s="16" t="s">
        <v>967</v>
      </c>
      <c r="G454" s="40" t="s">
        <v>545</v>
      </c>
      <c r="I454" s="18">
        <v>45446</v>
      </c>
      <c r="J454" s="10">
        <v>1</v>
      </c>
      <c r="K454" s="23">
        <v>449</v>
      </c>
      <c r="L454">
        <v>449</v>
      </c>
      <c r="M454" s="10">
        <v>473</v>
      </c>
      <c r="N454">
        <f t="shared" si="8"/>
        <v>473</v>
      </c>
      <c r="P4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Row],[orderNum]],ТабПозиции[orderSumm])&gt;1500),ABS(N454*VLOOKUP(ТабПозиции[[#This Row],[orderNum]],ТабЗаказы[#Data],MATCH("Percent",ТабЗаказы[#Headers],0),0))/100,200/COUNTIF(ТабПозиции[orderNum],ТабПозиции[[#This Row],[orderNum]])),0),"")</f>
        <v>71</v>
      </c>
      <c r="Q454">
        <f>IF(OR(ТабПозиции[[#This Row],[item]]="По штрихкоду",ТабПозиции[[#This Row],[item]]="Посылка"),ТабПозиции[[#This Row],[deliverySumm]]+ТабПозиции[[#This Row],[deliveryPost]],SUM(N454:P454))</f>
        <v>544</v>
      </c>
      <c r="R454" s="41">
        <v>544</v>
      </c>
      <c r="S454" s="46">
        <f>ТабПозиции[[#This Row],[totalSumm]]-ТабПозиции[[#This Row],[payment]]</f>
        <v>0</v>
      </c>
      <c r="T454" s="18" t="s">
        <v>563</v>
      </c>
      <c r="U454" s="40" t="s">
        <v>545</v>
      </c>
      <c r="V454" s="40" t="s">
        <v>545</v>
      </c>
      <c r="W454" s="40" t="s">
        <v>545</v>
      </c>
      <c r="X454" s="3"/>
      <c r="Y454"/>
    </row>
    <row r="455" spans="1:25" hidden="1" x14ac:dyDescent="0.25">
      <c r="A455" s="10">
        <v>119</v>
      </c>
      <c r="B455" s="1">
        <f>IFERROR(VLOOKUP(ТабПозиции[[#This Row],[orderNum]],ТабЗаказы[#Data],MATCH(B$7,ТабЗаказы[#Headers],0),0),"")</f>
        <v>45444</v>
      </c>
      <c r="C455" t="str">
        <f>MONTH(ТабПозиции[[#This Row],[date]])&amp;"/"&amp;YEAR(ТабПозиции[[#This Row],[date]])</f>
        <v>6/2024</v>
      </c>
      <c r="D455" s="1" t="str">
        <f>IFERROR(VLOOKUP(ТабПозиции[[#This Row],[orderNum]],ТабЗаказы[#Data],MATCH(D$7,ТабЗаказы[#Headers],0),0),"")</f>
        <v/>
      </c>
      <c r="E455" s="1" t="str">
        <f>IFERROR(VLOOKUP(ТабПозиции[[#This Row],[orderNum]],ТабЗаказы[#Data],MATCH(E$7,ТабЗаказы[#Headers],0),0),"")</f>
        <v/>
      </c>
      <c r="F455" s="16" t="s">
        <v>968</v>
      </c>
      <c r="G455" s="40" t="s">
        <v>545</v>
      </c>
      <c r="I455" s="18">
        <v>45446</v>
      </c>
      <c r="J455" s="10">
        <v>1</v>
      </c>
      <c r="K455" s="23">
        <v>385</v>
      </c>
      <c r="L455">
        <v>385</v>
      </c>
      <c r="M455" s="10">
        <v>406</v>
      </c>
      <c r="N455">
        <f t="shared" si="8"/>
        <v>406</v>
      </c>
      <c r="P4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Row],[orderNum]],ТабПозиции[orderSumm])&gt;1500),ABS(N455*VLOOKUP(ТабПозиции[[#This Row],[orderNum]],ТабЗаказы[#Data],MATCH("Percent",ТабЗаказы[#Headers],0),0))/100,200/COUNTIF(ТабПозиции[orderNum],ТабПозиции[[#This Row],[orderNum]])),0),"")</f>
        <v>61</v>
      </c>
      <c r="Q455">
        <f>IF(OR(ТабПозиции[[#This Row],[item]]="По штрихкоду",ТабПозиции[[#This Row],[item]]="Посылка"),ТабПозиции[[#This Row],[deliverySumm]]+ТабПозиции[[#This Row],[deliveryPost]],SUM(N455:P455))</f>
        <v>467</v>
      </c>
      <c r="R455" s="41">
        <v>467</v>
      </c>
      <c r="S455" s="46">
        <f>ТабПозиции[[#This Row],[totalSumm]]-ТабПозиции[[#This Row],[payment]]</f>
        <v>0</v>
      </c>
      <c r="T455" s="18" t="s">
        <v>563</v>
      </c>
      <c r="U455" s="40" t="s">
        <v>545</v>
      </c>
      <c r="V455" s="40" t="s">
        <v>545</v>
      </c>
      <c r="W455" s="40" t="s">
        <v>545</v>
      </c>
      <c r="X455" s="3"/>
      <c r="Y455"/>
    </row>
    <row r="456" spans="1:25" hidden="1" x14ac:dyDescent="0.25">
      <c r="A456" s="10">
        <v>119</v>
      </c>
      <c r="B456" s="1">
        <f>IFERROR(VLOOKUP(ТабПозиции[[#This Row],[orderNum]],ТабЗаказы[#Data],MATCH(B$7,ТабЗаказы[#Headers],0),0),"")</f>
        <v>45444</v>
      </c>
      <c r="C456" t="str">
        <f>MONTH(ТабПозиции[[#This Row],[date]])&amp;"/"&amp;YEAR(ТабПозиции[[#This Row],[date]])</f>
        <v>6/2024</v>
      </c>
      <c r="D456" s="1" t="str">
        <f>IFERROR(VLOOKUP(ТабПозиции[[#This Row],[orderNum]],ТабЗаказы[#Data],MATCH(D$7,ТабЗаказы[#Headers],0),0),"")</f>
        <v/>
      </c>
      <c r="E456" s="1" t="str">
        <f>IFERROR(VLOOKUP(ТабПозиции[[#This Row],[orderNum]],ТабЗаказы[#Data],MATCH(E$7,ТабЗаказы[#Headers],0),0),"")</f>
        <v/>
      </c>
      <c r="F456" s="16" t="s">
        <v>633</v>
      </c>
      <c r="G456" s="40" t="s">
        <v>545</v>
      </c>
      <c r="I456" s="18">
        <v>45446</v>
      </c>
      <c r="J456" s="10">
        <v>1</v>
      </c>
      <c r="K456" s="23">
        <v>773</v>
      </c>
      <c r="L456">
        <v>773</v>
      </c>
      <c r="M456" s="10">
        <v>814</v>
      </c>
      <c r="N456">
        <f t="shared" si="8"/>
        <v>814</v>
      </c>
      <c r="P4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Row],[orderNum]],ТабПозиции[orderSumm])&gt;1500),ABS(N456*VLOOKUP(ТабПозиции[[#This Row],[orderNum]],ТабЗаказы[#Data],MATCH("Percent",ТабЗаказы[#Headers],0),0))/100,200/COUNTIF(ТабПозиции[orderNum],ТабПозиции[[#This Row],[orderNum]])),0),"")</f>
        <v>122</v>
      </c>
      <c r="Q456">
        <f>IF(OR(ТабПозиции[[#This Row],[item]]="По штрихкоду",ТабПозиции[[#This Row],[item]]="Посылка"),ТабПозиции[[#This Row],[deliverySumm]]+ТабПозиции[[#This Row],[deliveryPost]],SUM(N456:P456))</f>
        <v>936</v>
      </c>
      <c r="R456" s="41">
        <v>936</v>
      </c>
      <c r="S456" s="46">
        <f>ТабПозиции[[#This Row],[totalSumm]]-ТабПозиции[[#This Row],[payment]]</f>
        <v>0</v>
      </c>
      <c r="T456" s="18" t="s">
        <v>563</v>
      </c>
      <c r="U456" s="40" t="s">
        <v>545</v>
      </c>
      <c r="V456" s="40" t="s">
        <v>545</v>
      </c>
      <c r="W456" s="40" t="s">
        <v>545</v>
      </c>
      <c r="X456" s="3"/>
      <c r="Y456"/>
    </row>
    <row r="457" spans="1:25" hidden="1" x14ac:dyDescent="0.25">
      <c r="A457" s="10">
        <v>122</v>
      </c>
      <c r="B457" s="1">
        <f>IFERROR(VLOOKUP(ТабПозиции[[#This Row],[orderNum]],ТабЗаказы[#Data],MATCH(B$7,ТабЗаказы[#Headers],0),0),"")</f>
        <v>45448</v>
      </c>
      <c r="C457" t="str">
        <f>MONTH(ТабПозиции[[#This Row],[date]])&amp;"/"&amp;YEAR(ТабПозиции[[#This Row],[date]])</f>
        <v>6/2024</v>
      </c>
      <c r="D457" s="1" t="str">
        <f>IFERROR(VLOOKUP(ТабПозиции[[#This Row],[orderNum]],ТабЗаказы[#Data],MATCH(D$7,ТабЗаказы[#Headers],0),0),"")</f>
        <v/>
      </c>
      <c r="E457" s="1" t="str">
        <f>IFERROR(VLOOKUP(ТабПозиции[[#This Row],[orderNum]],ТабЗаказы[#Data],MATCH(E$7,ТабЗаказы[#Headers],0),0),"")</f>
        <v/>
      </c>
      <c r="F457" s="16" t="s">
        <v>969</v>
      </c>
      <c r="G457" s="40" t="s">
        <v>545</v>
      </c>
      <c r="I457" s="18">
        <v>45446</v>
      </c>
      <c r="J457" s="10">
        <v>1</v>
      </c>
      <c r="K457" s="24">
        <v>284</v>
      </c>
      <c r="L457">
        <v>284</v>
      </c>
      <c r="M457" s="10">
        <v>299</v>
      </c>
      <c r="N457">
        <f t="shared" si="8"/>
        <v>299</v>
      </c>
      <c r="P4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Row],[orderNum]],ТабПозиции[orderSumm])&gt;1500),ABS(N457*VLOOKUP(ТабПозиции[[#This Row],[orderNum]],ТабЗаказы[#Data],MATCH("Percent",ТабЗаказы[#Headers],0),0))/100,200/COUNTIF(ТабПозиции[orderNum],ТабПозиции[[#This Row],[orderNum]])),0),"")</f>
        <v>45</v>
      </c>
      <c r="Q457">
        <f>IF(OR(ТабПозиции[[#This Row],[item]]="По штрихкоду",ТабПозиции[[#This Row],[item]]="Посылка"),ТабПозиции[[#This Row],[deliverySumm]]+ТабПозиции[[#This Row],[deliveryPost]],SUM(N457:P457))</f>
        <v>344</v>
      </c>
      <c r="R457" s="41">
        <v>344</v>
      </c>
      <c r="S457" s="46">
        <f>ТабПозиции[[#This Row],[totalSumm]]-ТабПозиции[[#This Row],[payment]]</f>
        <v>0</v>
      </c>
      <c r="T457" s="18" t="s">
        <v>970</v>
      </c>
      <c r="U457" s="40" t="s">
        <v>545</v>
      </c>
      <c r="V457" s="40" t="s">
        <v>545</v>
      </c>
      <c r="W457" s="40" t="s">
        <v>545</v>
      </c>
      <c r="X457" s="3"/>
      <c r="Y457"/>
    </row>
    <row r="458" spans="1:25" hidden="1" x14ac:dyDescent="0.25">
      <c r="A458" s="10">
        <v>122</v>
      </c>
      <c r="B458" s="1">
        <f>IFERROR(VLOOKUP(ТабПозиции[[#This Row],[orderNum]],ТабЗаказы[#Data],MATCH(B$7,ТабЗаказы[#Headers],0),0),"")</f>
        <v>45448</v>
      </c>
      <c r="C458" t="str">
        <f>MONTH(ТабПозиции[[#This Row],[date]])&amp;"/"&amp;YEAR(ТабПозиции[[#This Row],[date]])</f>
        <v>6/2024</v>
      </c>
      <c r="D458" s="1" t="str">
        <f>IFERROR(VLOOKUP(ТабПозиции[[#This Row],[orderNum]],ТабЗаказы[#Data],MATCH(D$7,ТабЗаказы[#Headers],0),0),"")</f>
        <v/>
      </c>
      <c r="E458" s="1" t="str">
        <f>IFERROR(VLOOKUP(ТабПозиции[[#This Row],[orderNum]],ТабЗаказы[#Data],MATCH(E$7,ТабЗаказы[#Headers],0),0),"")</f>
        <v/>
      </c>
      <c r="F458" s="16" t="s">
        <v>971</v>
      </c>
      <c r="G458" s="40" t="s">
        <v>545</v>
      </c>
      <c r="I458" s="18">
        <v>45448</v>
      </c>
      <c r="J458" s="10">
        <v>1</v>
      </c>
      <c r="K458" s="10">
        <v>323</v>
      </c>
      <c r="L458">
        <v>323</v>
      </c>
      <c r="M458" s="10">
        <v>330</v>
      </c>
      <c r="N458">
        <f t="shared" si="8"/>
        <v>330</v>
      </c>
      <c r="P4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Row],[orderNum]],ТабПозиции[orderSumm])&gt;1500),ABS(N458*VLOOKUP(ТабПозиции[[#This Row],[orderNum]],ТабЗаказы[#Data],MATCH("Percent",ТабЗаказы[#Headers],0),0))/100,200/COUNTIF(ТабПозиции[orderNum],ТабПозиции[[#This Row],[orderNum]])),0),"")</f>
        <v>50</v>
      </c>
      <c r="Q458">
        <f>IF(OR(ТабПозиции[[#This Row],[item]]="По штрихкоду",ТабПозиции[[#This Row],[item]]="Посылка"),ТабПозиции[[#This Row],[deliverySumm]]+ТабПозиции[[#This Row],[deliveryPost]],SUM(N458:P458))</f>
        <v>380</v>
      </c>
      <c r="R458" s="41">
        <v>380</v>
      </c>
      <c r="S458" s="46">
        <f>ТабПозиции[[#This Row],[totalSumm]]-ТабПозиции[[#This Row],[payment]]</f>
        <v>0</v>
      </c>
      <c r="T458" s="18" t="s">
        <v>960</v>
      </c>
      <c r="U458" s="40" t="s">
        <v>545</v>
      </c>
      <c r="V458" s="40" t="s">
        <v>545</v>
      </c>
      <c r="W458" s="40" t="s">
        <v>545</v>
      </c>
      <c r="X458" s="3"/>
      <c r="Y458"/>
    </row>
    <row r="459" spans="1:25" hidden="1" x14ac:dyDescent="0.25">
      <c r="A459" s="10">
        <v>122</v>
      </c>
      <c r="B459" s="1">
        <f>IFERROR(VLOOKUP(ТабПозиции[[#This Row],[orderNum]],ТабЗаказы[#Data],MATCH(B$7,ТабЗаказы[#Headers],0),0),"")</f>
        <v>45448</v>
      </c>
      <c r="C459" t="str">
        <f>MONTH(ТабПозиции[[#This Row],[date]])&amp;"/"&amp;YEAR(ТабПозиции[[#This Row],[date]])</f>
        <v>6/2024</v>
      </c>
      <c r="D459" s="1" t="str">
        <f>IFERROR(VLOOKUP(ТабПозиции[[#This Row],[orderNum]],ТабЗаказы[#Data],MATCH(D$7,ТабЗаказы[#Headers],0),0),"")</f>
        <v/>
      </c>
      <c r="E459" s="1" t="str">
        <f>IFERROR(VLOOKUP(ТабПозиции[[#This Row],[orderNum]],ТабЗаказы[#Data],MATCH(E$7,ТабЗаказы[#Headers],0),0),"")</f>
        <v/>
      </c>
      <c r="F459" s="16" t="s">
        <v>972</v>
      </c>
      <c r="G459" s="40" t="s">
        <v>545</v>
      </c>
      <c r="I459" s="18">
        <v>45445</v>
      </c>
      <c r="J459" s="10">
        <v>1</v>
      </c>
      <c r="K459" s="24">
        <v>136</v>
      </c>
      <c r="L459">
        <v>136</v>
      </c>
      <c r="M459" s="10">
        <v>144</v>
      </c>
      <c r="N459">
        <f t="shared" si="8"/>
        <v>144</v>
      </c>
      <c r="P4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Row],[orderNum]],ТабПозиции[orderSumm])&gt;1500),ABS(N459*VLOOKUP(ТабПозиции[[#This Row],[orderNum]],ТабЗаказы[#Data],MATCH("Percent",ТабЗаказы[#Headers],0),0))/100,200/COUNTIF(ТабПозиции[orderNum],ТабПозиции[[#This Row],[orderNum]])),0),"")</f>
        <v>22</v>
      </c>
      <c r="Q459">
        <f>IF(OR(ТабПозиции[[#This Row],[item]]="По штрихкоду",ТабПозиции[[#This Row],[item]]="Посылка"),ТабПозиции[[#This Row],[deliverySumm]]+ТабПозиции[[#This Row],[deliveryPost]],SUM(N459:P459))</f>
        <v>166</v>
      </c>
      <c r="R459" s="41">
        <v>166</v>
      </c>
      <c r="S459" s="46">
        <f>ТабПозиции[[#This Row],[totalSumm]]-ТабПозиции[[#This Row],[payment]]</f>
        <v>0</v>
      </c>
      <c r="T459" s="18" t="s">
        <v>970</v>
      </c>
      <c r="U459" s="40" t="s">
        <v>545</v>
      </c>
      <c r="V459" s="40" t="s">
        <v>545</v>
      </c>
      <c r="W459" s="40" t="s">
        <v>545</v>
      </c>
      <c r="X459" s="3"/>
      <c r="Y459"/>
    </row>
    <row r="460" spans="1:25" hidden="1" x14ac:dyDescent="0.25">
      <c r="A460" s="10">
        <v>122</v>
      </c>
      <c r="B460" s="1">
        <f>IFERROR(VLOOKUP(ТабПозиции[[#This Row],[orderNum]],ТабЗаказы[#Data],MATCH(B$7,ТабЗаказы[#Headers],0),0),"")</f>
        <v>45448</v>
      </c>
      <c r="C460" t="str">
        <f>MONTH(ТабПозиции[[#This Row],[date]])&amp;"/"&amp;YEAR(ТабПозиции[[#This Row],[date]])</f>
        <v>6/2024</v>
      </c>
      <c r="D460" s="1" t="str">
        <f>IFERROR(VLOOKUP(ТабПозиции[[#This Row],[orderNum]],ТабЗаказы[#Data],MATCH(D$7,ТабЗаказы[#Headers],0),0),"")</f>
        <v/>
      </c>
      <c r="E460" s="1" t="str">
        <f>IFERROR(VLOOKUP(ТабПозиции[[#This Row],[orderNum]],ТабЗаказы[#Data],MATCH(E$7,ТабЗаказы[#Headers],0),0),"")</f>
        <v/>
      </c>
      <c r="F460" s="16" t="s">
        <v>972</v>
      </c>
      <c r="G460" s="40" t="s">
        <v>545</v>
      </c>
      <c r="I460" s="18">
        <v>45452</v>
      </c>
      <c r="J460" s="10">
        <v>1</v>
      </c>
      <c r="K460" s="24">
        <v>136</v>
      </c>
      <c r="L460">
        <v>136</v>
      </c>
      <c r="M460" s="10">
        <v>144</v>
      </c>
      <c r="N460">
        <f t="shared" si="8"/>
        <v>144</v>
      </c>
      <c r="P4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Row],[orderNum]],ТабПозиции[orderSumm])&gt;1500),ABS(N460*VLOOKUP(ТабПозиции[[#This Row],[orderNum]],ТабЗаказы[#Data],MATCH("Percent",ТабЗаказы[#Headers],0),0))/100,200/COUNTIF(ТабПозиции[orderNum],ТабПозиции[[#This Row],[orderNum]])),0),"")</f>
        <v>22</v>
      </c>
      <c r="Q460">
        <f>IF(OR(ТабПозиции[[#This Row],[item]]="По штрихкоду",ТабПозиции[[#This Row],[item]]="Посылка"),ТабПозиции[[#This Row],[deliverySumm]]+ТабПозиции[[#This Row],[deliveryPost]],SUM(N460:P460))</f>
        <v>166</v>
      </c>
      <c r="R460" s="41">
        <v>166</v>
      </c>
      <c r="S460" s="46">
        <f>ТабПозиции[[#This Row],[totalSumm]]-ТабПозиции[[#This Row],[payment]]</f>
        <v>0</v>
      </c>
      <c r="T460" s="18" t="s">
        <v>970</v>
      </c>
      <c r="U460" s="40" t="s">
        <v>545</v>
      </c>
      <c r="V460" s="40" t="s">
        <v>545</v>
      </c>
      <c r="W460" s="40" t="s">
        <v>545</v>
      </c>
      <c r="X460" s="3"/>
      <c r="Y460"/>
    </row>
    <row r="461" spans="1:25" hidden="1" x14ac:dyDescent="0.25">
      <c r="A461" s="10">
        <v>122</v>
      </c>
      <c r="B461" s="1">
        <f>IFERROR(VLOOKUP(ТабПозиции[[#This Row],[orderNum]],ТабЗаказы[#Data],MATCH(B$7,ТабЗаказы[#Headers],0),0),"")</f>
        <v>45448</v>
      </c>
      <c r="C461" t="str">
        <f>MONTH(ТабПозиции[[#This Row],[date]])&amp;"/"&amp;YEAR(ТабПозиции[[#This Row],[date]])</f>
        <v>6/2024</v>
      </c>
      <c r="D461" s="1" t="str">
        <f>IFERROR(VLOOKUP(ТабПозиции[[#This Row],[orderNum]],ТабЗаказы[#Data],MATCH(D$7,ТабЗаказы[#Headers],0),0),"")</f>
        <v/>
      </c>
      <c r="E461" s="1" t="str">
        <f>IFERROR(VLOOKUP(ТабПозиции[[#This Row],[orderNum]],ТабЗаказы[#Data],MATCH(E$7,ТабЗаказы[#Headers],0),0),"")</f>
        <v/>
      </c>
      <c r="F461" s="16" t="s">
        <v>973</v>
      </c>
      <c r="G461" s="40" t="s">
        <v>545</v>
      </c>
      <c r="I461" s="18">
        <v>45453</v>
      </c>
      <c r="J461" s="10">
        <v>1</v>
      </c>
      <c r="K461" s="10">
        <v>683</v>
      </c>
      <c r="L461">
        <v>683</v>
      </c>
      <c r="M461" s="10">
        <v>745</v>
      </c>
      <c r="N461">
        <f t="shared" si="8"/>
        <v>745</v>
      </c>
      <c r="P4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Row],[orderNum]],ТабПозиции[orderSumm])&gt;1500),ABS(N461*VLOOKUP(ТабПозиции[[#This Row],[orderNum]],ТабЗаказы[#Data],MATCH("Percent",ТабЗаказы[#Headers],0),0))/100,200/COUNTIF(ТабПозиции[orderNum],ТабПозиции[[#This Row],[orderNum]])),0),"")</f>
        <v>112</v>
      </c>
      <c r="Q461">
        <f>IF(OR(ТабПозиции[[#This Row],[item]]="По штрихкоду",ТабПозиции[[#This Row],[item]]="Посылка"),ТабПозиции[[#This Row],[deliverySumm]]+ТабПозиции[[#This Row],[deliveryPost]],SUM(N461:P461))</f>
        <v>857</v>
      </c>
      <c r="R461" s="41">
        <v>857</v>
      </c>
      <c r="S461" s="46">
        <f>ТабПозиции[[#This Row],[totalSumm]]-ТабПозиции[[#This Row],[payment]]</f>
        <v>0</v>
      </c>
      <c r="T461" s="18" t="s">
        <v>970</v>
      </c>
      <c r="U461" s="40" t="s">
        <v>545</v>
      </c>
      <c r="V461" s="40" t="s">
        <v>545</v>
      </c>
      <c r="W461" s="40" t="s">
        <v>545</v>
      </c>
      <c r="X461" s="3"/>
      <c r="Y461"/>
    </row>
    <row r="462" spans="1:25" hidden="1" x14ac:dyDescent="0.25">
      <c r="A462" s="10">
        <v>122</v>
      </c>
      <c r="B462" s="1">
        <f>IFERROR(VLOOKUP(ТабПозиции[[#This Row],[orderNum]],ТабЗаказы[#Data],MATCH(B$7,ТабЗаказы[#Headers],0),0),"")</f>
        <v>45448</v>
      </c>
      <c r="C462" t="str">
        <f>MONTH(ТабПозиции[[#This Row],[date]])&amp;"/"&amp;YEAR(ТабПозиции[[#This Row],[date]])</f>
        <v>6/2024</v>
      </c>
      <c r="D462" s="1" t="str">
        <f>IFERROR(VLOOKUP(ТабПозиции[[#This Row],[orderNum]],ТабЗаказы[#Data],MATCH(D$7,ТабЗаказы[#Headers],0),0),"")</f>
        <v/>
      </c>
      <c r="E462" s="1" t="str">
        <f>IFERROR(VLOOKUP(ТабПозиции[[#This Row],[orderNum]],ТабЗаказы[#Data],MATCH(E$7,ТабЗаказы[#Headers],0),0),"")</f>
        <v/>
      </c>
      <c r="F462" s="16" t="s">
        <v>974</v>
      </c>
      <c r="G462" s="40" t="s">
        <v>545</v>
      </c>
      <c r="I462" s="18">
        <v>45446</v>
      </c>
      <c r="J462" s="10">
        <v>1</v>
      </c>
      <c r="K462" s="24">
        <v>385</v>
      </c>
      <c r="L462">
        <v>385</v>
      </c>
      <c r="M462" s="10">
        <v>406</v>
      </c>
      <c r="N462">
        <f t="shared" si="8"/>
        <v>406</v>
      </c>
      <c r="P4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Row],[orderNum]],ТабПозиции[orderSumm])&gt;1500),ABS(N462*VLOOKUP(ТабПозиции[[#This Row],[orderNum]],ТабЗаказы[#Data],MATCH("Percent",ТабЗаказы[#Headers],0),0))/100,200/COUNTIF(ТабПозиции[orderNum],ТабПозиции[[#This Row],[orderNum]])),0),"")</f>
        <v>61</v>
      </c>
      <c r="Q462">
        <f>IF(OR(ТабПозиции[[#This Row],[item]]="По штрихкоду",ТабПозиции[[#This Row],[item]]="Посылка"),ТабПозиции[[#This Row],[deliverySumm]]+ТабПозиции[[#This Row],[deliveryPost]],SUM(N462:P462))</f>
        <v>467</v>
      </c>
      <c r="R462" s="41">
        <v>467</v>
      </c>
      <c r="S462" s="46">
        <f>ТабПозиции[[#This Row],[totalSumm]]-ТабПозиции[[#This Row],[payment]]</f>
        <v>0</v>
      </c>
      <c r="T462" s="18" t="s">
        <v>970</v>
      </c>
      <c r="U462" s="40" t="s">
        <v>545</v>
      </c>
      <c r="V462" s="40" t="s">
        <v>545</v>
      </c>
      <c r="W462" s="40" t="s">
        <v>545</v>
      </c>
      <c r="X462" s="3"/>
      <c r="Y462"/>
    </row>
    <row r="463" spans="1:25" hidden="1" x14ac:dyDescent="0.25">
      <c r="A463" s="10">
        <v>120</v>
      </c>
      <c r="B463" s="1">
        <f>IFERROR(VLOOKUP(ТабПозиции[[#This Row],[orderNum]],ТабЗаказы[#Data],MATCH(B$7,ТабЗаказы[#Headers],0),0),"")</f>
        <v>45446</v>
      </c>
      <c r="C463" t="str">
        <f>MONTH(ТабПозиции[[#This Row],[date]])&amp;"/"&amp;YEAR(ТабПозиции[[#This Row],[date]])</f>
        <v>6/2024</v>
      </c>
      <c r="D463" s="1" t="str">
        <f>IFERROR(VLOOKUP(ТабПозиции[[#This Row],[orderNum]],ТабЗаказы[#Data],MATCH(D$7,ТабЗаказы[#Headers],0),0),"")</f>
        <v/>
      </c>
      <c r="E463" s="1" t="str">
        <f>IFERROR(VLOOKUP(ТабПозиции[[#This Row],[orderNum]],ТабЗаказы[#Data],MATCH(E$7,ТабЗаказы[#Headers],0),0),"")</f>
        <v/>
      </c>
      <c r="F463" s="16" t="s">
        <v>975</v>
      </c>
      <c r="G463" s="40" t="s">
        <v>545</v>
      </c>
      <c r="I463" s="18">
        <v>45448</v>
      </c>
      <c r="J463" s="10">
        <v>1</v>
      </c>
      <c r="K463" s="10">
        <v>627</v>
      </c>
      <c r="L463">
        <v>627</v>
      </c>
      <c r="M463" s="10">
        <v>680</v>
      </c>
      <c r="N463">
        <f t="shared" si="8"/>
        <v>680</v>
      </c>
      <c r="P4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Row],[orderNum]],ТабПозиции[orderSumm])&gt;1500),ABS(N463*VLOOKUP(ТабПозиции[[#This Row],[orderNum]],ТабЗаказы[#Data],MATCH("Percent",ТабЗаказы[#Headers],0),0))/100,200/COUNTIF(ТабПозиции[orderNum],ТабПозиции[[#This Row],[orderNum]])),0),"")</f>
        <v>102</v>
      </c>
      <c r="Q463">
        <f>IF(OR(ТабПозиции[[#This Row],[item]]="По штрихкоду",ТабПозиции[[#This Row],[item]]="Посылка"),ТабПозиции[[#This Row],[deliverySumm]]+ТабПозиции[[#This Row],[deliveryPost]],SUM(N463:P463))</f>
        <v>782</v>
      </c>
      <c r="R463" s="41">
        <v>782</v>
      </c>
      <c r="S463" s="46">
        <f>ТабПозиции[[#This Row],[totalSumm]]-ТабПозиции[[#This Row],[payment]]</f>
        <v>0</v>
      </c>
      <c r="T463" s="18" t="s">
        <v>960</v>
      </c>
      <c r="U463" s="40" t="s">
        <v>545</v>
      </c>
      <c r="V463" s="40" t="s">
        <v>545</v>
      </c>
      <c r="W463" s="40" t="s">
        <v>545</v>
      </c>
      <c r="X463" s="3"/>
      <c r="Y463"/>
    </row>
    <row r="464" spans="1:25" hidden="1" x14ac:dyDescent="0.25">
      <c r="A464" s="10">
        <v>120</v>
      </c>
      <c r="B464" s="1">
        <f>IFERROR(VLOOKUP(ТабПозиции[[#This Row],[orderNum]],ТабЗаказы[#Data],MATCH(B$7,ТабЗаказы[#Headers],0),0),"")</f>
        <v>45446</v>
      </c>
      <c r="C464" t="str">
        <f>MONTH(ТабПозиции[[#This Row],[date]])&amp;"/"&amp;YEAR(ТабПозиции[[#This Row],[date]])</f>
        <v>6/2024</v>
      </c>
      <c r="D464" s="1" t="str">
        <f>IFERROR(VLOOKUP(ТабПозиции[[#This Row],[orderNum]],ТабЗаказы[#Data],MATCH(D$7,ТабЗаказы[#Headers],0),0),"")</f>
        <v/>
      </c>
      <c r="E464" s="1" t="str">
        <f>IFERROR(VLOOKUP(ТабПозиции[[#This Row],[orderNum]],ТабЗаказы[#Data],MATCH(E$7,ТабЗаказы[#Headers],0),0),"")</f>
        <v/>
      </c>
      <c r="F464" s="16" t="s">
        <v>976</v>
      </c>
      <c r="G464" s="40" t="s">
        <v>545</v>
      </c>
      <c r="I464" s="18">
        <v>45454</v>
      </c>
      <c r="J464" s="10">
        <v>1</v>
      </c>
      <c r="K464" s="10">
        <v>1823</v>
      </c>
      <c r="L464">
        <v>1823</v>
      </c>
      <c r="M464" s="10">
        <v>2115</v>
      </c>
      <c r="N464">
        <f t="shared" si="8"/>
        <v>2115</v>
      </c>
      <c r="P4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Row],[orderNum]],ТабПозиции[orderSumm])&gt;1500),ABS(N464*VLOOKUP(ТабПозиции[[#This Row],[orderNum]],ТабЗаказы[#Data],MATCH("Percent",ТабЗаказы[#Headers],0),0))/100,200/COUNTIF(ТабПозиции[orderNum],ТабПозиции[[#This Row],[orderNum]])),0),"")</f>
        <v>317</v>
      </c>
      <c r="Q464">
        <f>IF(OR(ТабПозиции[[#This Row],[item]]="По штрихкоду",ТабПозиции[[#This Row],[item]]="Посылка"),ТабПозиции[[#This Row],[deliverySumm]]+ТабПозиции[[#This Row],[deliveryPost]],SUM(N464:P464))</f>
        <v>2432</v>
      </c>
      <c r="R464" s="41">
        <v>2432</v>
      </c>
      <c r="S464" s="46">
        <f>ТабПозиции[[#This Row],[totalSumm]]-ТабПозиции[[#This Row],[payment]]</f>
        <v>0</v>
      </c>
      <c r="T464" s="18" t="s">
        <v>960</v>
      </c>
      <c r="U464" s="40" t="s">
        <v>545</v>
      </c>
      <c r="V464" s="40" t="s">
        <v>545</v>
      </c>
      <c r="W464" s="40" t="s">
        <v>545</v>
      </c>
      <c r="X464" s="3"/>
      <c r="Y464"/>
    </row>
    <row r="465" spans="1:25" hidden="1" x14ac:dyDescent="0.25">
      <c r="A465" s="10">
        <v>121</v>
      </c>
      <c r="B465" s="1">
        <f>IFERROR(VLOOKUP(ТабПозиции[[#This Row],[orderNum]],ТабЗаказы[#Data],MATCH(B$7,ТабЗаказы[#Headers],0),0),"")</f>
        <v>45446</v>
      </c>
      <c r="C465" t="str">
        <f>MONTH(ТабПозиции[[#This Row],[date]])&amp;"/"&amp;YEAR(ТабПозиции[[#This Row],[date]])</f>
        <v>6/2024</v>
      </c>
      <c r="D465" s="1" t="str">
        <f>IFERROR(VLOOKUP(ТабПозиции[[#This Row],[orderNum]],ТабЗаказы[#Data],MATCH(D$7,ТабЗаказы[#Headers],0),0),"")</f>
        <v/>
      </c>
      <c r="E465" s="1" t="str">
        <f>IFERROR(VLOOKUP(ТабПозиции[[#This Row],[orderNum]],ТабЗаказы[#Data],MATCH(E$7,ТабЗаказы[#Headers],0),0),"")</f>
        <v/>
      </c>
      <c r="F465" s="16" t="s">
        <v>977</v>
      </c>
      <c r="G465" s="40" t="s">
        <v>545</v>
      </c>
      <c r="I465" s="18">
        <v>45450</v>
      </c>
      <c r="J465" s="10">
        <v>2</v>
      </c>
      <c r="K465" s="10">
        <v>511</v>
      </c>
      <c r="L465">
        <v>1022</v>
      </c>
      <c r="M465" s="10">
        <v>574</v>
      </c>
      <c r="N465">
        <f t="shared" si="8"/>
        <v>1148</v>
      </c>
      <c r="P4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Row],[orderNum]],ТабПозиции[orderSumm])&gt;1500),ABS(N465*VLOOKUP(ТабПозиции[[#This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465">
        <f>IF(OR(ТабПозиции[[#This Row],[item]]="По штрихкоду",ТабПозиции[[#This Row],[item]]="Посылка"),ТабПозиции[[#This Row],[deliverySumm]]+ТабПозиции[[#This Row],[deliveryPost]],SUM(N465:P465))</f>
        <v>1348</v>
      </c>
      <c r="R465" s="41">
        <v>1348</v>
      </c>
      <c r="S465" s="46">
        <f>ТабПозиции[[#This Row],[totalSumm]]-ТабПозиции[[#This Row],[payment]]</f>
        <v>0</v>
      </c>
      <c r="T465" s="18" t="s">
        <v>960</v>
      </c>
      <c r="U465" s="40" t="s">
        <v>545</v>
      </c>
      <c r="V465" s="40" t="s">
        <v>545</v>
      </c>
      <c r="W465" s="40" t="s">
        <v>545</v>
      </c>
      <c r="X465" s="3"/>
      <c r="Y465"/>
    </row>
    <row r="466" spans="1:25" hidden="1" x14ac:dyDescent="0.25">
      <c r="A466" s="10">
        <v>120</v>
      </c>
      <c r="B466" s="1">
        <f>IFERROR(VLOOKUP(ТабПозиции[[#This Row],[orderNum]],ТабЗаказы[#Data],MATCH(B$7,ТабЗаказы[#Headers],0),0),"")</f>
        <v>45446</v>
      </c>
      <c r="C466" t="str">
        <f>MONTH(ТабПозиции[[#This Row],[date]])&amp;"/"&amp;YEAR(ТабПозиции[[#This Row],[date]])</f>
        <v>6/2024</v>
      </c>
      <c r="D466" s="1" t="str">
        <f>IFERROR(VLOOKUP(ТабПозиции[[#This Row],[orderNum]],ТабЗаказы[#Data],MATCH(D$7,ТабЗаказы[#Headers],0),0),"")</f>
        <v/>
      </c>
      <c r="E466" s="1" t="str">
        <f>IFERROR(VLOOKUP(ТабПозиции[[#This Row],[orderNum]],ТабЗаказы[#Data],MATCH(E$7,ТабЗаказы[#Headers],0),0),"")</f>
        <v/>
      </c>
      <c r="F466" s="16" t="s">
        <v>978</v>
      </c>
      <c r="G466" s="40" t="s">
        <v>545</v>
      </c>
      <c r="I466" s="18">
        <v>45453</v>
      </c>
      <c r="J466" s="10">
        <v>1</v>
      </c>
      <c r="K466" s="10">
        <v>335</v>
      </c>
      <c r="L466">
        <v>335</v>
      </c>
      <c r="M466" s="10">
        <v>340</v>
      </c>
      <c r="N466">
        <f t="shared" si="8"/>
        <v>340</v>
      </c>
      <c r="P4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Row],[orderNum]],ТабПозиции[orderSumm])&gt;1500),ABS(N466*VLOOKUP(ТабПозиции[[#This Row],[orderNum]],ТабЗаказы[#Data],MATCH("Percent",ТабЗаказы[#Headers],0),0))/100,200/COUNTIF(ТабПозиции[orderNum],ТабПозиции[[#This Row],[orderNum]])),0),"")</f>
        <v>51</v>
      </c>
      <c r="Q466">
        <f>IF(OR(ТабПозиции[[#This Row],[item]]="По штрихкоду",ТабПозиции[[#This Row],[item]]="Посылка"),ТабПозиции[[#This Row],[deliverySumm]]+ТабПозиции[[#This Row],[deliveryPost]],SUM(N466:P466))</f>
        <v>391</v>
      </c>
      <c r="R466" s="41">
        <v>391</v>
      </c>
      <c r="S466" s="46">
        <f>ТабПозиции[[#This Row],[totalSumm]]-ТабПозиции[[#This Row],[payment]]</f>
        <v>0</v>
      </c>
      <c r="T466" s="18" t="s">
        <v>960</v>
      </c>
      <c r="U466" s="40" t="s">
        <v>545</v>
      </c>
      <c r="V466" s="40" t="s">
        <v>545</v>
      </c>
      <c r="W466" s="40" t="s">
        <v>545</v>
      </c>
      <c r="X466" s="3"/>
      <c r="Y466"/>
    </row>
    <row r="467" spans="1:25" hidden="1" x14ac:dyDescent="0.25">
      <c r="A467" s="10">
        <v>115</v>
      </c>
      <c r="B467" s="1">
        <f>IFERROR(VLOOKUP(ТабПозиции[[#This Row],[orderNum]],ТабЗаказы[#Data],MATCH(B$7,ТабЗаказы[#Headers],0),0),"")</f>
        <v>45443</v>
      </c>
      <c r="C467" t="str">
        <f>MONTH(ТабПозиции[[#This Row],[date]])&amp;"/"&amp;YEAR(ТабПозиции[[#This Row],[date]])</f>
        <v>5/2024</v>
      </c>
      <c r="D467" s="1" t="str">
        <f>IFERROR(VLOOKUP(ТабПозиции[[#This Row],[orderNum]],ТабЗаказы[#Data],MATCH(D$7,ТабЗаказы[#Headers],0),0),"")</f>
        <v/>
      </c>
      <c r="E467" s="1" t="str">
        <f>IFERROR(VLOOKUP(ТабПозиции[[#This Row],[orderNum]],ТабЗаказы[#Data],MATCH(E$7,ТабЗаказы[#Headers],0),0),"")</f>
        <v/>
      </c>
      <c r="F467" s="10" t="s">
        <v>979</v>
      </c>
      <c r="G467" s="40" t="s">
        <v>545</v>
      </c>
      <c r="I467" s="18">
        <v>45457</v>
      </c>
      <c r="J467" s="10">
        <v>1</v>
      </c>
      <c r="K467" s="10">
        <v>12651</v>
      </c>
      <c r="L467">
        <v>12651</v>
      </c>
      <c r="M467" s="10">
        <v>13611</v>
      </c>
      <c r="N467">
        <f t="shared" si="8"/>
        <v>13611</v>
      </c>
      <c r="O467" s="10">
        <v>900</v>
      </c>
      <c r="P4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Row],[orderNum]],ТабПозиции[orderSumm])&gt;1500),ABS(N467*VLOOKUP(ТабПозиции[[#This Row],[orderNum]],ТабЗаказы[#Data],MATCH("Percent",ТабЗаказы[#Headers],0),0))/100,200/COUNTIF(ТабПозиции[orderNum],ТабПозиции[[#This Row],[orderNum]])),0),"")</f>
        <v>1361</v>
      </c>
      <c r="Q467">
        <f>IF(OR(ТабПозиции[[#This Row],[item]]="По штрихкоду",ТабПозиции[[#This Row],[item]]="Посылка"),ТабПозиции[[#This Row],[deliverySumm]]+ТабПозиции[[#This Row],[deliveryPost]],SUM(N467:P467))</f>
        <v>15872</v>
      </c>
      <c r="R467" s="41">
        <v>15872</v>
      </c>
      <c r="S467" s="46">
        <f>ТабПозиции[[#This Row],[totalSumm]]-ТабПозиции[[#This Row],[payment]]</f>
        <v>0</v>
      </c>
      <c r="T467" s="18" t="s">
        <v>980</v>
      </c>
      <c r="U467" s="40" t="s">
        <v>545</v>
      </c>
      <c r="V467" s="40" t="s">
        <v>545</v>
      </c>
      <c r="W467" s="40" t="s">
        <v>545</v>
      </c>
      <c r="X467" s="3"/>
      <c r="Y467"/>
    </row>
    <row r="468" spans="1:25" hidden="1" x14ac:dyDescent="0.25">
      <c r="A468" s="10">
        <v>120</v>
      </c>
      <c r="B468" s="1">
        <f>IFERROR(VLOOKUP(ТабПозиции[[#This Row],[orderNum]],ТабЗаказы[#Data],MATCH(B$7,ТабЗаказы[#Headers],0),0),"")</f>
        <v>45446</v>
      </c>
      <c r="C468" t="str">
        <f>MONTH(ТабПозиции[[#This Row],[date]])&amp;"/"&amp;YEAR(ТабПозиции[[#This Row],[date]])</f>
        <v>6/2024</v>
      </c>
      <c r="D468" s="1" t="str">
        <f>IFERROR(VLOOKUP(ТабПозиции[[#This Row],[orderNum]],ТабЗаказы[#Data],MATCH(D$7,ТабЗаказы[#Headers],0),0),"")</f>
        <v/>
      </c>
      <c r="E468" s="1" t="str">
        <f>IFERROR(VLOOKUP(ТабПозиции[[#This Row],[orderNum]],ТабЗаказы[#Data],MATCH(E$7,ТабЗаказы[#Headers],0),0),"")</f>
        <v/>
      </c>
      <c r="F468" s="16" t="s">
        <v>981</v>
      </c>
      <c r="G468" s="40" t="s">
        <v>545</v>
      </c>
      <c r="I468" s="18">
        <v>45453</v>
      </c>
      <c r="J468" s="10">
        <v>1</v>
      </c>
      <c r="K468" s="10">
        <v>260</v>
      </c>
      <c r="L468">
        <v>260</v>
      </c>
      <c r="M468" s="10">
        <v>265</v>
      </c>
      <c r="N468">
        <f t="shared" si="8"/>
        <v>265</v>
      </c>
      <c r="P4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Row],[orderNum]],ТабПозиции[orderSumm])&gt;1500),ABS(N468*VLOOKUP(ТабПозиции[[#This Row],[orderNum]],ТабЗаказы[#Data],MATCH("Percent",ТабЗаказы[#Headers],0),0))/100,200/COUNTIF(ТабПозиции[orderNum],ТабПозиции[[#This Row],[orderNum]])),0),"")</f>
        <v>40</v>
      </c>
      <c r="Q468">
        <f>IF(OR(ТабПозиции[[#This Row],[item]]="По штрихкоду",ТабПозиции[[#This Row],[item]]="Посылка"),ТабПозиции[[#This Row],[deliverySumm]]+ТабПозиции[[#This Row],[deliveryPost]],SUM(N468:P468))</f>
        <v>305</v>
      </c>
      <c r="R468" s="41">
        <v>305</v>
      </c>
      <c r="S468" s="46">
        <f>ТабПозиции[[#This Row],[totalSumm]]-ТабПозиции[[#This Row],[payment]]</f>
        <v>0</v>
      </c>
      <c r="T468" s="18" t="s">
        <v>960</v>
      </c>
      <c r="U468" s="40" t="s">
        <v>545</v>
      </c>
      <c r="V468" s="40" t="s">
        <v>545</v>
      </c>
      <c r="W468" s="40" t="s">
        <v>545</v>
      </c>
      <c r="X468" s="3"/>
      <c r="Y468"/>
    </row>
    <row r="469" spans="1:25" hidden="1" x14ac:dyDescent="0.25">
      <c r="A469" s="10">
        <v>120</v>
      </c>
      <c r="B469" s="1">
        <f>IFERROR(VLOOKUP(ТабПозиции[[#This Row],[orderNum]],ТабЗаказы[#Data],MATCH(B$7,ТабЗаказы[#Headers],0),0),"")</f>
        <v>45446</v>
      </c>
      <c r="C469" t="str">
        <f>MONTH(ТабПозиции[[#This Row],[date]])&amp;"/"&amp;YEAR(ТабПозиции[[#This Row],[date]])</f>
        <v>6/2024</v>
      </c>
      <c r="D469" s="1" t="str">
        <f>IFERROR(VLOOKUP(ТабПозиции[[#This Row],[orderNum]],ТабЗаказы[#Data],MATCH(D$7,ТабЗаказы[#Headers],0),0),"")</f>
        <v/>
      </c>
      <c r="E469" s="1" t="str">
        <f>IFERROR(VLOOKUP(ТабПозиции[[#This Row],[orderNum]],ТабЗаказы[#Data],MATCH(E$7,ТабЗаказы[#Headers],0),0),"")</f>
        <v/>
      </c>
      <c r="F469" s="16" t="s">
        <v>982</v>
      </c>
      <c r="G469" s="40" t="s">
        <v>545</v>
      </c>
      <c r="I469" s="18">
        <v>45451</v>
      </c>
      <c r="J469" s="10">
        <v>1</v>
      </c>
      <c r="K469" s="10">
        <v>563</v>
      </c>
      <c r="L469">
        <v>563</v>
      </c>
      <c r="M469" s="10">
        <v>607</v>
      </c>
      <c r="N469">
        <f t="shared" si="8"/>
        <v>607</v>
      </c>
      <c r="P4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Row],[orderNum]],ТабПозиции[orderSumm])&gt;1500),ABS(N469*VLOOKUP(ТабПозиции[[#This Row],[orderNum]],ТабЗаказы[#Data],MATCH("Percent",ТабЗаказы[#Headers],0),0))/100,200/COUNTIF(ТабПозиции[orderNum],ТабПозиции[[#This Row],[orderNum]])),0),"")</f>
        <v>91</v>
      </c>
      <c r="Q469">
        <f>IF(OR(ТабПозиции[[#This Row],[item]]="По штрихкоду",ТабПозиции[[#This Row],[item]]="Посылка"),ТабПозиции[[#This Row],[deliverySumm]]+ТабПозиции[[#This Row],[deliveryPost]],SUM(N469:P469))</f>
        <v>698</v>
      </c>
      <c r="R469" s="41">
        <v>698</v>
      </c>
      <c r="S469" s="46">
        <f>ТабПозиции[[#This Row],[totalSumm]]-ТабПозиции[[#This Row],[payment]]</f>
        <v>0</v>
      </c>
      <c r="T469" s="18" t="s">
        <v>960</v>
      </c>
      <c r="U469" s="40" t="s">
        <v>545</v>
      </c>
      <c r="V469" s="40" t="s">
        <v>545</v>
      </c>
      <c r="W469" s="40" t="s">
        <v>545</v>
      </c>
      <c r="X469" s="3"/>
      <c r="Y469"/>
    </row>
    <row r="470" spans="1:25" hidden="1" x14ac:dyDescent="0.25">
      <c r="A470" s="10">
        <v>122</v>
      </c>
      <c r="B470" s="1">
        <f>IFERROR(VLOOKUP(ТабПозиции[[#This Row],[orderNum]],ТабЗаказы[#Data],MATCH(B$7,ТабЗаказы[#Headers],0),0),"")</f>
        <v>45448</v>
      </c>
      <c r="C470" t="str">
        <f>MONTH(ТабПозиции[[#This Row],[date]])&amp;"/"&amp;YEAR(ТабПозиции[[#This Row],[date]])</f>
        <v>6/2024</v>
      </c>
      <c r="D470" s="1" t="str">
        <f>IFERROR(VLOOKUP(ТабПозиции[[#This Row],[orderNum]],ТабЗаказы[#Data],MATCH(D$7,ТабЗаказы[#Headers],0),0),"")</f>
        <v/>
      </c>
      <c r="E470" s="1" t="str">
        <f>IFERROR(VLOOKUP(ТабПозиции[[#This Row],[orderNum]],ТабЗаказы[#Data],MATCH(E$7,ТабЗаказы[#Headers],0),0),"")</f>
        <v/>
      </c>
      <c r="F470" s="16" t="s">
        <v>983</v>
      </c>
      <c r="G470" s="40" t="s">
        <v>545</v>
      </c>
      <c r="I470" s="18">
        <v>45451</v>
      </c>
      <c r="J470" s="10">
        <v>1</v>
      </c>
      <c r="K470" s="10">
        <v>490</v>
      </c>
      <c r="L470">
        <v>490</v>
      </c>
      <c r="M470" s="10">
        <v>516</v>
      </c>
      <c r="N470">
        <f t="shared" si="8"/>
        <v>516</v>
      </c>
      <c r="P4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Row],[orderNum]],ТабПозиции[orderSumm])&gt;1500),ABS(N470*VLOOKUP(ТабПозиции[[#This Row],[orderNum]],ТабЗаказы[#Data],MATCH("Percent",ТабЗаказы[#Headers],0),0))/100,200/COUNTIF(ТабПозиции[orderNum],ТабПозиции[[#This Row],[orderNum]])),0),"")</f>
        <v>77</v>
      </c>
      <c r="Q470">
        <f>IF(OR(ТабПозиции[[#This Row],[item]]="По штрихкоду",ТабПозиции[[#This Row],[item]]="Посылка"),ТабПозиции[[#This Row],[deliverySumm]]+ТабПозиции[[#This Row],[deliveryPost]],SUM(N470:P470))</f>
        <v>593</v>
      </c>
      <c r="R470" s="41">
        <v>593</v>
      </c>
      <c r="S470" s="46">
        <f>ТабПозиции[[#This Row],[totalSumm]]-ТабПозиции[[#This Row],[payment]]</f>
        <v>0</v>
      </c>
      <c r="T470" s="18" t="s">
        <v>970</v>
      </c>
      <c r="U470" s="40" t="s">
        <v>545</v>
      </c>
      <c r="V470" s="40" t="s">
        <v>545</v>
      </c>
      <c r="W470" s="40" t="s">
        <v>545</v>
      </c>
      <c r="X470" s="3"/>
      <c r="Y470"/>
    </row>
    <row r="471" spans="1:25" hidden="1" x14ac:dyDescent="0.25">
      <c r="A471" s="10">
        <v>122</v>
      </c>
      <c r="B471" s="1">
        <f>IFERROR(VLOOKUP(ТабПозиции[[#This Row],[orderNum]],ТабЗаказы[#Data],MATCH(B$7,ТабЗаказы[#Headers],0),0),"")</f>
        <v>45448</v>
      </c>
      <c r="C471" t="str">
        <f>MONTH(ТабПозиции[[#This Row],[date]])&amp;"/"&amp;YEAR(ТабПозиции[[#This Row],[date]])</f>
        <v>6/2024</v>
      </c>
      <c r="D471" s="1" t="str">
        <f>IFERROR(VLOOKUP(ТабПозиции[[#This Row],[orderNum]],ТабЗаказы[#Data],MATCH(D$7,ТабЗаказы[#Headers],0),0),"")</f>
        <v/>
      </c>
      <c r="E471" s="1" t="str">
        <f>IFERROR(VLOOKUP(ТабПозиции[[#This Row],[orderNum]],ТабЗаказы[#Data],MATCH(E$7,ТабЗаказы[#Headers],0),0),"")</f>
        <v/>
      </c>
      <c r="F471" s="16" t="s">
        <v>984</v>
      </c>
      <c r="G471" s="40" t="s">
        <v>545</v>
      </c>
      <c r="I471" s="18">
        <v>45451</v>
      </c>
      <c r="J471" s="10">
        <v>1</v>
      </c>
      <c r="K471" s="10">
        <v>469</v>
      </c>
      <c r="L471">
        <v>469</v>
      </c>
      <c r="M471" s="10">
        <v>494</v>
      </c>
      <c r="N471">
        <f t="shared" si="8"/>
        <v>494</v>
      </c>
      <c r="P4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Row],[orderNum]],ТабПозиции[orderSumm])&gt;1500),ABS(N471*VLOOKUP(ТабПозиции[[#This Row],[orderNum]],ТабЗаказы[#Data],MATCH("Percent",ТабЗаказы[#Headers],0),0))/100,200/COUNTIF(ТабПозиции[orderNum],ТабПозиции[[#This Row],[orderNum]])),0),"")</f>
        <v>74</v>
      </c>
      <c r="Q471">
        <f>IF(OR(ТабПозиции[[#This Row],[item]]="По штрихкоду",ТабПозиции[[#This Row],[item]]="Посылка"),ТабПозиции[[#This Row],[deliverySumm]]+ТабПозиции[[#This Row],[deliveryPost]],SUM(N471:P471))</f>
        <v>568</v>
      </c>
      <c r="R471" s="41">
        <v>568</v>
      </c>
      <c r="S471" s="46">
        <f>ТабПозиции[[#This Row],[totalSumm]]-ТабПозиции[[#This Row],[payment]]</f>
        <v>0</v>
      </c>
      <c r="T471" s="18" t="s">
        <v>970</v>
      </c>
      <c r="U471" s="40" t="s">
        <v>545</v>
      </c>
      <c r="V471" s="40" t="s">
        <v>545</v>
      </c>
      <c r="W471" s="40" t="s">
        <v>545</v>
      </c>
      <c r="X471" s="3"/>
      <c r="Y471"/>
    </row>
    <row r="472" spans="1:25" hidden="1" x14ac:dyDescent="0.25">
      <c r="A472" s="10">
        <v>122</v>
      </c>
      <c r="B472" s="1">
        <f>IFERROR(VLOOKUP(ТабПозиции[[#This Row],[orderNum]],ТабЗаказы[#Data],MATCH(B$7,ТабЗаказы[#Headers],0),0),"")</f>
        <v>45448</v>
      </c>
      <c r="C472" t="str">
        <f>MONTH(ТабПозиции[[#This Row],[date]])&amp;"/"&amp;YEAR(ТабПозиции[[#This Row],[date]])</f>
        <v>6/2024</v>
      </c>
      <c r="D472" s="1" t="str">
        <f>IFERROR(VLOOKUP(ТабПозиции[[#This Row],[orderNum]],ТабЗаказы[#Data],MATCH(D$7,ТабЗаказы[#Headers],0),0),"")</f>
        <v/>
      </c>
      <c r="E472" s="1" t="str">
        <f>IFERROR(VLOOKUP(ТабПозиции[[#This Row],[orderNum]],ТабЗаказы[#Data],MATCH(E$7,ТабЗаказы[#Headers],0),0),"")</f>
        <v/>
      </c>
      <c r="F472" s="16" t="s">
        <v>985</v>
      </c>
      <c r="G472" s="40" t="s">
        <v>545</v>
      </c>
      <c r="I472" s="18">
        <v>45451</v>
      </c>
      <c r="J472" s="10">
        <v>1</v>
      </c>
      <c r="K472" s="10">
        <v>976</v>
      </c>
      <c r="L472">
        <v>976</v>
      </c>
      <c r="M472" s="10">
        <v>1028</v>
      </c>
      <c r="N472">
        <f t="shared" si="8"/>
        <v>1028</v>
      </c>
      <c r="P4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Row],[orderNum]],ТабПозиции[orderSumm])&gt;1500),ABS(N472*VLOOKUP(ТабПозиции[[#This Row],[orderNum]],ТабЗаказы[#Data],MATCH("Percent",ТабЗаказы[#Headers],0),0))/100,200/COUNTIF(ТабПозиции[orderNum],ТабПозиции[[#This Row],[orderNum]])),0),"")</f>
        <v>154</v>
      </c>
      <c r="Q472">
        <f>IF(OR(ТабПозиции[[#This Row],[item]]="По штрихкоду",ТабПозиции[[#This Row],[item]]="Посылка"),ТабПозиции[[#This Row],[deliverySumm]]+ТабПозиции[[#This Row],[deliveryPost]],SUM(N472:P472))</f>
        <v>1182</v>
      </c>
      <c r="R472" s="41">
        <v>1182</v>
      </c>
      <c r="S472" s="46">
        <f>ТабПозиции[[#This Row],[totalSumm]]-ТабПозиции[[#This Row],[payment]]</f>
        <v>0</v>
      </c>
      <c r="T472" s="18" t="s">
        <v>970</v>
      </c>
      <c r="U472" s="40" t="s">
        <v>545</v>
      </c>
      <c r="V472" s="40" t="s">
        <v>545</v>
      </c>
      <c r="W472" s="40" t="s">
        <v>545</v>
      </c>
      <c r="X472" s="3"/>
      <c r="Y472"/>
    </row>
    <row r="473" spans="1:25" hidden="1" x14ac:dyDescent="0.25">
      <c r="A473" s="10">
        <v>122</v>
      </c>
      <c r="B473" s="1">
        <f>IFERROR(VLOOKUP(ТабПозиции[[#This Row],[orderNum]],ТабЗаказы[#Data],MATCH(B$7,ТабЗаказы[#Headers],0),0),"")</f>
        <v>45448</v>
      </c>
      <c r="C473" t="str">
        <f>MONTH(ТабПозиции[[#This Row],[date]])&amp;"/"&amp;YEAR(ТабПозиции[[#This Row],[date]])</f>
        <v>6/2024</v>
      </c>
      <c r="D473" s="1" t="str">
        <f>IFERROR(VLOOKUP(ТабПозиции[[#This Row],[orderNum]],ТабЗаказы[#Data],MATCH(D$7,ТабЗаказы[#Headers],0),0),"")</f>
        <v/>
      </c>
      <c r="E473" s="1" t="str">
        <f>IFERROR(VLOOKUP(ТабПозиции[[#This Row],[orderNum]],ТабЗаказы[#Data],MATCH(E$7,ТабЗаказы[#Headers],0),0),"")</f>
        <v/>
      </c>
      <c r="F473" s="16" t="s">
        <v>986</v>
      </c>
      <c r="G473" s="40" t="s">
        <v>545</v>
      </c>
      <c r="I473" s="18">
        <v>45450</v>
      </c>
      <c r="J473" s="10">
        <v>1</v>
      </c>
      <c r="K473" s="10">
        <v>492</v>
      </c>
      <c r="L473">
        <v>492</v>
      </c>
      <c r="M473" s="10">
        <v>518</v>
      </c>
      <c r="N473">
        <f t="shared" si="8"/>
        <v>518</v>
      </c>
      <c r="P4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Row],[orderNum]],ТабПозиции[orderSumm])&gt;1500),ABS(N473*VLOOKUP(ТабПозиции[[#This Row],[orderNum]],ТабЗаказы[#Data],MATCH("Percent",ТабЗаказы[#Headers],0),0))/100,200/COUNTIF(ТабПозиции[orderNum],ТабПозиции[[#This Row],[orderNum]])),0),"")</f>
        <v>78</v>
      </c>
      <c r="Q473">
        <f>IF(OR(ТабПозиции[[#This Row],[item]]="По штрихкоду",ТабПозиции[[#This Row],[item]]="Посылка"),ТабПозиции[[#This Row],[deliverySumm]]+ТабПозиции[[#This Row],[deliveryPost]],SUM(N473:P473))</f>
        <v>596</v>
      </c>
      <c r="R473" s="41">
        <v>596</v>
      </c>
      <c r="S473" s="46">
        <f>ТабПозиции[[#This Row],[totalSumm]]-ТабПозиции[[#This Row],[payment]]</f>
        <v>0</v>
      </c>
      <c r="T473" s="18" t="s">
        <v>970</v>
      </c>
      <c r="U473" s="40" t="s">
        <v>545</v>
      </c>
      <c r="V473" s="40" t="s">
        <v>545</v>
      </c>
      <c r="W473" s="40" t="s">
        <v>545</v>
      </c>
      <c r="X473" s="3"/>
      <c r="Y473"/>
    </row>
    <row r="474" spans="1:25" hidden="1" x14ac:dyDescent="0.25">
      <c r="A474" s="10">
        <v>123</v>
      </c>
      <c r="B474" s="1">
        <f>IFERROR(VLOOKUP(ТабПозиции[[#This Row],[orderNum]],ТабЗаказы[#Data],MATCH(B$7,ТабЗаказы[#Headers],0),0),"")</f>
        <v>45450</v>
      </c>
      <c r="C474" t="str">
        <f>MONTH(ТабПозиции[[#This Row],[date]])&amp;"/"&amp;YEAR(ТабПозиции[[#This Row],[date]])</f>
        <v>6/2024</v>
      </c>
      <c r="D474" s="1" t="str">
        <f>IFERROR(VLOOKUP(ТабПозиции[[#This Row],[orderNum]],ТабЗаказы[#Data],MATCH(D$7,ТабЗаказы[#Headers],0),0),"")</f>
        <v/>
      </c>
      <c r="E474" s="1" t="str">
        <f>IFERROR(VLOOKUP(ТабПозиции[[#This Row],[orderNum]],ТабЗаказы[#Data],MATCH(E$7,ТабЗаказы[#Headers],0),0),"")</f>
        <v/>
      </c>
      <c r="F474" s="16" t="s">
        <v>987</v>
      </c>
      <c r="G474" s="40" t="s">
        <v>545</v>
      </c>
      <c r="I474" s="18">
        <v>45453</v>
      </c>
      <c r="J474" s="10">
        <v>1</v>
      </c>
      <c r="K474" s="10">
        <v>264</v>
      </c>
      <c r="L474">
        <v>264</v>
      </c>
      <c r="M474" s="10">
        <v>278</v>
      </c>
      <c r="N474">
        <f t="shared" si="8"/>
        <v>278</v>
      </c>
      <c r="P4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Row],[orderNum]],ТабПозиции[orderSumm])&gt;1500),ABS(N474*VLOOKUP(ТабПозиции[[#This Row],[orderNum]],ТабЗаказы[#Data],MATCH("Percent",ТабЗаказы[#Headers],0),0))/100,200/COUNTIF(ТабПозиции[orderNum],ТабПозиции[[#This Row],[orderNum]])),0),"")</f>
        <v>33</v>
      </c>
      <c r="Q474">
        <f>IF(OR(ТабПозиции[[#This Row],[item]]="По штрихкоду",ТабПозиции[[#This Row],[item]]="Посылка"),ТабПозиции[[#This Row],[deliverySumm]]+ТабПозиции[[#This Row],[deliveryPost]],SUM(N474:P474))</f>
        <v>311</v>
      </c>
      <c r="R474" s="41">
        <v>311</v>
      </c>
      <c r="S474" s="46">
        <f>ТабПозиции[[#This Row],[totalSumm]]-ТабПозиции[[#This Row],[payment]]</f>
        <v>0</v>
      </c>
      <c r="T474" s="18" t="s">
        <v>970</v>
      </c>
      <c r="U474" s="40" t="s">
        <v>545</v>
      </c>
      <c r="V474" s="40" t="s">
        <v>545</v>
      </c>
      <c r="W474" s="40" t="s">
        <v>545</v>
      </c>
      <c r="X474" s="3"/>
      <c r="Y474"/>
    </row>
    <row r="475" spans="1:25" hidden="1" x14ac:dyDescent="0.25">
      <c r="A475" s="10">
        <v>123</v>
      </c>
      <c r="B475" s="1">
        <f>IFERROR(VLOOKUP(ТабПозиции[[#This Row],[orderNum]],ТабЗаказы[#Data],MATCH(B$7,ТабЗаказы[#Headers],0),0),"")</f>
        <v>45450</v>
      </c>
      <c r="C475" t="str">
        <f>MONTH(ТабПозиции[[#This Row],[date]])&amp;"/"&amp;YEAR(ТабПозиции[[#This Row],[date]])</f>
        <v>6/2024</v>
      </c>
      <c r="D475" s="1" t="str">
        <f>IFERROR(VLOOKUP(ТабПозиции[[#This Row],[orderNum]],ТабЗаказы[#Data],MATCH(D$7,ТабЗаказы[#Headers],0),0),"")</f>
        <v/>
      </c>
      <c r="E475" s="1" t="str">
        <f>IFERROR(VLOOKUP(ТабПозиции[[#This Row],[orderNum]],ТабЗаказы[#Data],MATCH(E$7,ТабЗаказы[#Headers],0),0),"")</f>
        <v/>
      </c>
      <c r="F475" s="16" t="s">
        <v>988</v>
      </c>
      <c r="G475" s="40" t="s">
        <v>545</v>
      </c>
      <c r="I475" s="18">
        <v>45454</v>
      </c>
      <c r="J475" s="10">
        <v>1</v>
      </c>
      <c r="K475" s="10">
        <v>99</v>
      </c>
      <c r="L475">
        <v>99</v>
      </c>
      <c r="M475" s="10">
        <v>105</v>
      </c>
      <c r="N475">
        <f t="shared" si="8"/>
        <v>105</v>
      </c>
      <c r="P4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Row],[orderNum]],ТабПозиции[orderSumm])&gt;1500),ABS(N475*VLOOKUP(ТабПозиции[[#This Row],[orderNum]],ТабЗаказы[#Data],MATCH("Percent",ТабЗаказы[#Headers],0),0))/100,200/COUNTIF(ТабПозиции[orderNum],ТабПозиции[[#This Row],[orderNum]])),0),"")</f>
        <v>33</v>
      </c>
      <c r="Q475">
        <f>IF(OR(ТабПозиции[[#This Row],[item]]="По штрихкоду",ТабПозиции[[#This Row],[item]]="Посылка"),ТабПозиции[[#This Row],[deliverySumm]]+ТабПозиции[[#This Row],[deliveryPost]],SUM(N475:P475))</f>
        <v>138</v>
      </c>
      <c r="R475" s="41">
        <v>138</v>
      </c>
      <c r="S475" s="46">
        <f>ТабПозиции[[#This Row],[totalSumm]]-ТабПозиции[[#This Row],[payment]]</f>
        <v>0</v>
      </c>
      <c r="T475" s="18" t="s">
        <v>970</v>
      </c>
      <c r="U475" s="40" t="s">
        <v>545</v>
      </c>
      <c r="V475" s="40" t="s">
        <v>545</v>
      </c>
      <c r="W475" s="40" t="s">
        <v>545</v>
      </c>
      <c r="X475" s="3"/>
      <c r="Y475"/>
    </row>
    <row r="476" spans="1:25" hidden="1" x14ac:dyDescent="0.25">
      <c r="A476" s="10">
        <v>123</v>
      </c>
      <c r="B476" s="1">
        <f>IFERROR(VLOOKUP(ТабПозиции[[#This Row],[orderNum]],ТабЗаказы[#Data],MATCH(B$7,ТабЗаказы[#Headers],0),0),"")</f>
        <v>45450</v>
      </c>
      <c r="C476" t="str">
        <f>MONTH(ТабПозиции[[#This Row],[date]])&amp;"/"&amp;YEAR(ТабПозиции[[#This Row],[date]])</f>
        <v>6/2024</v>
      </c>
      <c r="D476" s="1" t="str">
        <f>IFERROR(VLOOKUP(ТабПозиции[[#This Row],[orderNum]],ТабЗаказы[#Data],MATCH(D$7,ТабЗаказы[#Headers],0),0),"")</f>
        <v/>
      </c>
      <c r="E476" s="1" t="str">
        <f>IFERROR(VLOOKUP(ТабПозиции[[#This Row],[orderNum]],ТабЗаказы[#Data],MATCH(E$7,ТабЗаказы[#Headers],0),0),"")</f>
        <v/>
      </c>
      <c r="F476" s="16" t="s">
        <v>579</v>
      </c>
      <c r="G476" s="40" t="s">
        <v>545</v>
      </c>
      <c r="I476" s="18">
        <v>45453</v>
      </c>
      <c r="J476" s="10">
        <v>1</v>
      </c>
      <c r="K476" s="10">
        <v>247</v>
      </c>
      <c r="L476">
        <v>247</v>
      </c>
      <c r="M476" s="10">
        <v>261</v>
      </c>
      <c r="N476">
        <f t="shared" si="8"/>
        <v>261</v>
      </c>
      <c r="P4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Row],[orderNum]],ТабПозиции[orderSumm])&gt;1500),ABS(N476*VLOOKUP(ТабПозиции[[#This Row],[orderNum]],ТабЗаказы[#Data],MATCH("Percent",ТабЗаказы[#Headers],0),0))/100,200/COUNTIF(ТабПозиции[orderNum],ТабПозиции[[#This Row],[orderNum]])),0),"")</f>
        <v>33</v>
      </c>
      <c r="Q476">
        <f>IF(OR(ТабПозиции[[#This Row],[item]]="По штрихкоду",ТабПозиции[[#This Row],[item]]="Посылка"),ТабПозиции[[#This Row],[deliverySumm]]+ТабПозиции[[#This Row],[deliveryPost]],SUM(N476:P476))</f>
        <v>294</v>
      </c>
      <c r="R476" s="41">
        <v>294</v>
      </c>
      <c r="S476" s="46">
        <f>ТабПозиции[[#This Row],[totalSumm]]-ТабПозиции[[#This Row],[payment]]</f>
        <v>0</v>
      </c>
      <c r="T476" s="18" t="s">
        <v>970</v>
      </c>
      <c r="U476" s="40" t="s">
        <v>545</v>
      </c>
      <c r="V476" s="40" t="s">
        <v>545</v>
      </c>
      <c r="W476" s="40" t="s">
        <v>545</v>
      </c>
      <c r="X476" s="3"/>
      <c r="Y476"/>
    </row>
    <row r="477" spans="1:25" hidden="1" x14ac:dyDescent="0.25">
      <c r="A477" s="10">
        <v>123</v>
      </c>
      <c r="B477" s="1">
        <f>IFERROR(VLOOKUP(ТабПозиции[[#This Row],[orderNum]],ТабЗаказы[#Data],MATCH(B$7,ТабЗаказы[#Headers],0),0),"")</f>
        <v>45450</v>
      </c>
      <c r="C477" t="str">
        <f>MONTH(ТабПозиции[[#This Row],[date]])&amp;"/"&amp;YEAR(ТабПозиции[[#This Row],[date]])</f>
        <v>6/2024</v>
      </c>
      <c r="D477" s="1" t="str">
        <f>IFERROR(VLOOKUP(ТабПозиции[[#This Row],[orderNum]],ТабЗаказы[#Data],MATCH(D$7,ТабЗаказы[#Headers],0),0),"")</f>
        <v/>
      </c>
      <c r="E477" s="1" t="str">
        <f>IFERROR(VLOOKUP(ТабПозиции[[#This Row],[orderNum]],ТабЗаказы[#Data],MATCH(E$7,ТабЗаказы[#Headers],0),0),"")</f>
        <v/>
      </c>
      <c r="F477" s="16" t="s">
        <v>989</v>
      </c>
      <c r="G477" s="40" t="s">
        <v>545</v>
      </c>
      <c r="I477" s="18">
        <v>45453</v>
      </c>
      <c r="J477" s="10">
        <v>1</v>
      </c>
      <c r="K477" s="10">
        <v>293</v>
      </c>
      <c r="L477">
        <v>293</v>
      </c>
      <c r="M477" s="10">
        <v>299</v>
      </c>
      <c r="N477">
        <f t="shared" si="8"/>
        <v>299</v>
      </c>
      <c r="P4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Row],[orderNum]],ТабПозиции[orderSumm])&gt;1500),ABS(N477*VLOOKUP(ТабПозиции[[#This Row],[orderNum]],ТабЗаказы[#Data],MATCH("Percent",ТабЗаказы[#Headers],0),0))/100,200/COUNTIF(ТабПозиции[orderNum],ТабПозиции[[#This Row],[orderNum]])),0),"")</f>
        <v>33</v>
      </c>
      <c r="Q477">
        <f>IF(OR(ТабПозиции[[#This Row],[item]]="По штрихкоду",ТабПозиции[[#This Row],[item]]="Посылка"),ТабПозиции[[#This Row],[deliverySumm]]+ТабПозиции[[#This Row],[deliveryPost]],SUM(N477:P477))</f>
        <v>332</v>
      </c>
      <c r="R477" s="41">
        <v>332</v>
      </c>
      <c r="S477" s="46">
        <f>ТабПозиции[[#This Row],[totalSumm]]-ТабПозиции[[#This Row],[payment]]</f>
        <v>0</v>
      </c>
      <c r="T477" s="18" t="s">
        <v>960</v>
      </c>
      <c r="U477" s="40" t="s">
        <v>545</v>
      </c>
      <c r="V477" s="40" t="s">
        <v>545</v>
      </c>
      <c r="W477" s="40" t="s">
        <v>545</v>
      </c>
      <c r="X477" s="3"/>
      <c r="Y477"/>
    </row>
    <row r="478" spans="1:25" hidden="1" x14ac:dyDescent="0.25">
      <c r="A478" s="10">
        <v>123</v>
      </c>
      <c r="B478" s="1">
        <f>IFERROR(VLOOKUP(ТабПозиции[[#This Row],[orderNum]],ТабЗаказы[#Data],MATCH(B$7,ТабЗаказы[#Headers],0),0),"")</f>
        <v>45450</v>
      </c>
      <c r="C478" t="str">
        <f>MONTH(ТабПозиции[[#This Row],[date]])&amp;"/"&amp;YEAR(ТабПозиции[[#This Row],[date]])</f>
        <v>6/2024</v>
      </c>
      <c r="D478" s="1" t="str">
        <f>IFERROR(VLOOKUP(ТабПозиции[[#This Row],[orderNum]],ТабЗаказы[#Data],MATCH(D$7,ТабЗаказы[#Headers],0),0),"")</f>
        <v/>
      </c>
      <c r="E478" s="1" t="str">
        <f>IFERROR(VLOOKUP(ТабПозиции[[#This Row],[orderNum]],ТабЗаказы[#Data],MATCH(E$7,ТабЗаказы[#Headers],0),0),"")</f>
        <v/>
      </c>
      <c r="F478" s="16" t="s">
        <v>990</v>
      </c>
      <c r="G478" s="40" t="s">
        <v>545</v>
      </c>
      <c r="I478" s="18">
        <v>45453</v>
      </c>
      <c r="J478" s="10">
        <v>1</v>
      </c>
      <c r="K478" s="10">
        <v>294</v>
      </c>
      <c r="L478">
        <v>294</v>
      </c>
      <c r="M478" s="10">
        <v>300</v>
      </c>
      <c r="N478">
        <f t="shared" si="8"/>
        <v>300</v>
      </c>
      <c r="P4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Row],[orderNum]],ТабПозиции[orderSumm])&gt;1500),ABS(N478*VLOOKUP(ТабПозиции[[#This Row],[orderNum]],ТабЗаказы[#Data],MATCH("Percent",ТабЗаказы[#Headers],0),0))/100,200/COUNTIF(ТабПозиции[orderNum],ТабПозиции[[#This Row],[orderNum]])),0),"")</f>
        <v>33</v>
      </c>
      <c r="Q478">
        <f>IF(OR(ТабПозиции[[#This Row],[item]]="По штрихкоду",ТабПозиции[[#This Row],[item]]="Посылка"),ТабПозиции[[#This Row],[deliverySumm]]+ТабПозиции[[#This Row],[deliveryPost]],SUM(N478:P478))</f>
        <v>333</v>
      </c>
      <c r="R478" s="41">
        <v>333</v>
      </c>
      <c r="S478" s="46">
        <f>ТабПозиции[[#This Row],[totalSumm]]-ТабПозиции[[#This Row],[payment]]</f>
        <v>0</v>
      </c>
      <c r="T478" s="18" t="s">
        <v>960</v>
      </c>
      <c r="U478" s="40" t="s">
        <v>545</v>
      </c>
      <c r="V478" s="40" t="s">
        <v>545</v>
      </c>
      <c r="W478" s="40" t="s">
        <v>545</v>
      </c>
      <c r="X478" s="3"/>
      <c r="Y478"/>
    </row>
    <row r="479" spans="1:25" hidden="1" x14ac:dyDescent="0.25">
      <c r="A479" s="10">
        <v>123</v>
      </c>
      <c r="B479" s="1">
        <f>IFERROR(VLOOKUP(ТабПозиции[[#This Row],[orderNum]],ТабЗаказы[#Data],MATCH(B$7,ТабЗаказы[#Headers],0),0),"")</f>
        <v>45450</v>
      </c>
      <c r="C479" t="str">
        <f>MONTH(ТабПозиции[[#This Row],[date]])&amp;"/"&amp;YEAR(ТабПозиции[[#This Row],[date]])</f>
        <v>6/2024</v>
      </c>
      <c r="D479" s="1" t="str">
        <f>IFERROR(VLOOKUP(ТабПозиции[[#This Row],[orderNum]],ТабЗаказы[#Data],MATCH(D$7,ТабЗаказы[#Headers],0),0),"")</f>
        <v/>
      </c>
      <c r="E479" s="1" t="str">
        <f>IFERROR(VLOOKUP(ТабПозиции[[#This Row],[orderNum]],ТабЗаказы[#Data],MATCH(E$7,ТабЗаказы[#Headers],0),0),"")</f>
        <v/>
      </c>
      <c r="F479" s="16" t="s">
        <v>991</v>
      </c>
      <c r="G479" s="40" t="s">
        <v>545</v>
      </c>
      <c r="I479" s="18">
        <v>45454</v>
      </c>
      <c r="J479" s="10">
        <v>1</v>
      </c>
      <c r="K479" s="10">
        <v>158</v>
      </c>
      <c r="L479">
        <v>158</v>
      </c>
      <c r="M479" s="10">
        <v>161</v>
      </c>
      <c r="N479">
        <f t="shared" si="8"/>
        <v>161</v>
      </c>
      <c r="P4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Row],[orderNum]],ТабПозиции[orderSumm])&gt;1500),ABS(N479*VLOOKUP(ТабПозиции[[#This Row],[orderNum]],ТабЗаказы[#Data],MATCH("Percent",ТабЗаказы[#Headers],0),0))/100,200/COUNTIF(ТабПозиции[orderNum],ТабПозиции[[#This Row],[orderNum]])),0),"")</f>
        <v>33</v>
      </c>
      <c r="Q479">
        <f>IF(OR(ТабПозиции[[#This Row],[item]]="По штрихкоду",ТабПозиции[[#This Row],[item]]="Посылка"),ТабПозиции[[#This Row],[deliverySumm]]+ТабПозиции[[#This Row],[deliveryPost]],SUM(N479:P479))</f>
        <v>194</v>
      </c>
      <c r="R479" s="41">
        <v>194</v>
      </c>
      <c r="S479" s="46">
        <f>ТабПозиции[[#This Row],[totalSumm]]-ТабПозиции[[#This Row],[payment]]</f>
        <v>0</v>
      </c>
      <c r="T479" s="18" t="s">
        <v>960</v>
      </c>
      <c r="U479" s="40" t="s">
        <v>545</v>
      </c>
      <c r="V479" s="40" t="s">
        <v>545</v>
      </c>
      <c r="W479" s="40" t="s">
        <v>545</v>
      </c>
      <c r="X479" s="3"/>
      <c r="Y479"/>
    </row>
    <row r="480" spans="1:25" hidden="1" x14ac:dyDescent="0.25">
      <c r="A480" s="10">
        <v>124</v>
      </c>
      <c r="B480" s="1">
        <f>IFERROR(VLOOKUP(ТабПозиции[[#This Row],[orderNum]],ТабЗаказы[#Data],MATCH(B$7,ТабЗаказы[#Headers],0),0),"")</f>
        <v>45450</v>
      </c>
      <c r="C480" t="str">
        <f>MONTH(ТабПозиции[[#This Row],[date]])&amp;"/"&amp;YEAR(ТабПозиции[[#This Row],[date]])</f>
        <v>6/2024</v>
      </c>
      <c r="D480" s="1" t="str">
        <f>IFERROR(VLOOKUP(ТабПозиции[[#This Row],[orderNum]],ТабЗаказы[#Data],MATCH(D$7,ТабЗаказы[#Headers],0),0),"")</f>
        <v/>
      </c>
      <c r="E480" s="1" t="str">
        <f>IFERROR(VLOOKUP(ТабПозиции[[#This Row],[orderNum]],ТабЗаказы[#Data],MATCH(E$7,ТабЗаказы[#Headers],0),0),"")</f>
        <v/>
      </c>
      <c r="F480" s="16" t="s">
        <v>992</v>
      </c>
      <c r="G480" s="40" t="s">
        <v>545</v>
      </c>
      <c r="I480" s="18">
        <v>45453</v>
      </c>
      <c r="J480" s="10">
        <v>1</v>
      </c>
      <c r="K480" s="10">
        <v>608</v>
      </c>
      <c r="L480">
        <v>608</v>
      </c>
      <c r="M480" s="10">
        <v>641</v>
      </c>
      <c r="N480">
        <f t="shared" si="8"/>
        <v>641</v>
      </c>
      <c r="P4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Row],[orderNum]],ТабПозиции[orderSumm])&gt;1500),ABS(N480*VLOOKUP(ТабПозиции[[#This Row],[orderNum]],ТабЗаказы[#Data],MATCH("Percent",ТабЗаказы[#Headers],0),0))/100,200/COUNTIF(ТабПозиции[orderNum],ТабПозиции[[#This Row],[orderNum]])),0),"")</f>
        <v>50</v>
      </c>
      <c r="Q480">
        <f>IF(OR(ТабПозиции[[#This Row],[item]]="По штрихкоду",ТабПозиции[[#This Row],[item]]="Посылка"),ТабПозиции[[#This Row],[deliverySumm]]+ТабПозиции[[#This Row],[deliveryPost]],SUM(N480:P480))</f>
        <v>691</v>
      </c>
      <c r="R480" s="41">
        <v>691</v>
      </c>
      <c r="S480" s="46">
        <f>ТабПозиции[[#This Row],[totalSumm]]-ТабПозиции[[#This Row],[payment]]</f>
        <v>0</v>
      </c>
      <c r="T480" s="18" t="s">
        <v>970</v>
      </c>
      <c r="U480" s="40" t="s">
        <v>552</v>
      </c>
      <c r="V480" s="40" t="s">
        <v>552</v>
      </c>
      <c r="W480" s="40" t="s">
        <v>545</v>
      </c>
      <c r="X480" s="3"/>
      <c r="Y480"/>
    </row>
    <row r="481" spans="1:25" hidden="1" x14ac:dyDescent="0.25">
      <c r="A481" s="10">
        <v>124</v>
      </c>
      <c r="B481" s="1">
        <f>IFERROR(VLOOKUP(ТабПозиции[[#This Row],[orderNum]],ТабЗаказы[#Data],MATCH(B$7,ТабЗаказы[#Headers],0),0),"")</f>
        <v>45450</v>
      </c>
      <c r="C481" t="str">
        <f>MONTH(ТабПозиции[[#This Row],[date]])&amp;"/"&amp;YEAR(ТабПозиции[[#This Row],[date]])</f>
        <v>6/2024</v>
      </c>
      <c r="D481" s="1" t="str">
        <f>IFERROR(VLOOKUP(ТабПозиции[[#This Row],[orderNum]],ТабЗаказы[#Data],MATCH(D$7,ТабЗаказы[#Headers],0),0),"")</f>
        <v/>
      </c>
      <c r="E481" s="1" t="str">
        <f>IFERROR(VLOOKUP(ТабПозиции[[#This Row],[orderNum]],ТабЗаказы[#Data],MATCH(E$7,ТабЗаказы[#Headers],0),0),"")</f>
        <v/>
      </c>
      <c r="F481" s="16" t="s">
        <v>993</v>
      </c>
      <c r="G481" s="40" t="s">
        <v>545</v>
      </c>
      <c r="I481" s="18">
        <v>45453</v>
      </c>
      <c r="J481" s="10">
        <v>1</v>
      </c>
      <c r="K481" s="10">
        <v>412</v>
      </c>
      <c r="L481">
        <v>412</v>
      </c>
      <c r="M481" s="10">
        <v>434</v>
      </c>
      <c r="N481">
        <f t="shared" ref="N481:N544" si="9">M481*J481</f>
        <v>434</v>
      </c>
      <c r="P4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Row],[orderNum]],ТабПозиции[orderSumm])&gt;1500),ABS(N481*VLOOKUP(ТабПозиции[[#This Row],[orderNum]],ТабЗаказы[#Data],MATCH("Percent",ТабЗаказы[#Headers],0),0))/100,200/COUNTIF(ТабПозиции[orderNum],ТабПозиции[[#This Row],[orderNum]])),0),"")</f>
        <v>50</v>
      </c>
      <c r="Q481">
        <f>IF(OR(ТабПозиции[[#This Row],[item]]="По штрихкоду",ТабПозиции[[#This Row],[item]]="Посылка"),ТабПозиции[[#This Row],[deliverySumm]]+ТабПозиции[[#This Row],[deliveryPost]],SUM(N481:P481))</f>
        <v>484</v>
      </c>
      <c r="R481" s="41">
        <v>484</v>
      </c>
      <c r="S481" s="46">
        <f>ТабПозиции[[#This Row],[totalSumm]]-ТабПозиции[[#This Row],[payment]]</f>
        <v>0</v>
      </c>
      <c r="T481" s="18" t="s">
        <v>970</v>
      </c>
      <c r="U481" s="40" t="s">
        <v>552</v>
      </c>
      <c r="V481" s="40" t="s">
        <v>552</v>
      </c>
      <c r="W481" s="40" t="s">
        <v>545</v>
      </c>
      <c r="X481" s="3"/>
      <c r="Y481"/>
    </row>
    <row r="482" spans="1:25" hidden="1" x14ac:dyDescent="0.25">
      <c r="A482" s="10">
        <v>124</v>
      </c>
      <c r="B482" s="1">
        <f>IFERROR(VLOOKUP(ТабПозиции[[#This Row],[orderNum]],ТабЗаказы[#Data],MATCH(B$7,ТабЗаказы[#Headers],0),0),"")</f>
        <v>45450</v>
      </c>
      <c r="C482" t="str">
        <f>MONTH(ТабПозиции[[#This Row],[date]])&amp;"/"&amp;YEAR(ТабПозиции[[#This Row],[date]])</f>
        <v>6/2024</v>
      </c>
      <c r="D482" s="1" t="str">
        <f>IFERROR(VLOOKUP(ТабПозиции[[#This Row],[orderNum]],ТабЗаказы[#Data],MATCH(D$7,ТабЗаказы[#Headers],0),0),"")</f>
        <v/>
      </c>
      <c r="E482" s="1" t="str">
        <f>IFERROR(VLOOKUP(ТабПозиции[[#This Row],[orderNum]],ТабЗаказы[#Data],MATCH(E$7,ТабЗаказы[#Headers],0),0),"")</f>
        <v/>
      </c>
      <c r="F482" s="16" t="s">
        <v>994</v>
      </c>
      <c r="G482" s="40" t="s">
        <v>545</v>
      </c>
      <c r="I482" s="18">
        <v>45453</v>
      </c>
      <c r="J482" s="10">
        <v>1</v>
      </c>
      <c r="K482" s="10">
        <v>151</v>
      </c>
      <c r="L482">
        <v>151</v>
      </c>
      <c r="M482" s="10">
        <v>159</v>
      </c>
      <c r="N482">
        <f t="shared" si="9"/>
        <v>159</v>
      </c>
      <c r="P4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Row],[orderNum]],ТабПозиции[orderSumm])&gt;1500),ABS(N482*VLOOKUP(ТабПозиции[[#This Row],[orderNum]],ТабЗаказы[#Data],MATCH("Percent",ТабЗаказы[#Headers],0),0))/100,200/COUNTIF(ТабПозиции[orderNum],ТабПозиции[[#This Row],[orderNum]])),0),"")</f>
        <v>50</v>
      </c>
      <c r="Q482">
        <f>IF(OR(ТабПозиции[[#This Row],[item]]="По штрихкоду",ТабПозиции[[#This Row],[item]]="Посылка"),ТабПозиции[[#This Row],[deliverySumm]]+ТабПозиции[[#This Row],[deliveryPost]],SUM(N482:P482))</f>
        <v>209</v>
      </c>
      <c r="R482" s="41">
        <v>209</v>
      </c>
      <c r="S482" s="46">
        <f>ТабПозиции[[#This Row],[totalSumm]]-ТабПозиции[[#This Row],[payment]]</f>
        <v>0</v>
      </c>
      <c r="T482" s="18" t="s">
        <v>970</v>
      </c>
      <c r="U482" s="40" t="s">
        <v>552</v>
      </c>
      <c r="V482" s="40" t="s">
        <v>552</v>
      </c>
      <c r="W482" s="40" t="s">
        <v>545</v>
      </c>
      <c r="X482" s="3"/>
      <c r="Y482"/>
    </row>
    <row r="483" spans="1:25" hidden="1" x14ac:dyDescent="0.25">
      <c r="A483" s="10">
        <v>124</v>
      </c>
      <c r="B483" s="1">
        <f>IFERROR(VLOOKUP(ТабПозиции[[#This Row],[orderNum]],ТабЗаказы[#Data],MATCH(B$7,ТабЗаказы[#Headers],0),0),"")</f>
        <v>45450</v>
      </c>
      <c r="C483" t="str">
        <f>MONTH(ТабПозиции[[#This Row],[date]])&amp;"/"&amp;YEAR(ТабПозиции[[#This Row],[date]])</f>
        <v>6/2024</v>
      </c>
      <c r="D483" s="1" t="str">
        <f>IFERROR(VLOOKUP(ТабПозиции[[#This Row],[orderNum]],ТабЗаказы[#Data],MATCH(D$7,ТабЗаказы[#Headers],0),0),"")</f>
        <v/>
      </c>
      <c r="E483" s="1" t="str">
        <f>IFERROR(VLOOKUP(ТабПозиции[[#This Row],[orderNum]],ТабЗаказы[#Data],MATCH(E$7,ТабЗаказы[#Headers],0),0),"")</f>
        <v/>
      </c>
      <c r="F483" s="16" t="s">
        <v>995</v>
      </c>
      <c r="G483" s="40" t="s">
        <v>545</v>
      </c>
      <c r="I483" s="18">
        <v>45453</v>
      </c>
      <c r="J483" s="10">
        <v>1</v>
      </c>
      <c r="K483" s="10">
        <v>125</v>
      </c>
      <c r="L483">
        <v>125</v>
      </c>
      <c r="M483" s="10">
        <v>132</v>
      </c>
      <c r="N483">
        <f t="shared" si="9"/>
        <v>132</v>
      </c>
      <c r="P4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Row],[orderNum]],ТабПозиции[orderSumm])&gt;1500),ABS(N483*VLOOKUP(ТабПозиции[[#This Row],[orderNum]],ТабЗаказы[#Data],MATCH("Percent",ТабЗаказы[#Headers],0),0))/100,200/COUNTIF(ТабПозиции[orderNum],ТабПозиции[[#This Row],[orderNum]])),0),"")</f>
        <v>50</v>
      </c>
      <c r="Q483">
        <f>IF(OR(ТабПозиции[[#This Row],[item]]="По штрихкоду",ТабПозиции[[#This Row],[item]]="Посылка"),ТабПозиции[[#This Row],[deliverySumm]]+ТабПозиции[[#This Row],[deliveryPost]],SUM(N483:P483))</f>
        <v>182</v>
      </c>
      <c r="R483" s="41">
        <v>182</v>
      </c>
      <c r="S483" s="46">
        <f>ТабПозиции[[#This Row],[totalSumm]]-ТабПозиции[[#This Row],[payment]]</f>
        <v>0</v>
      </c>
      <c r="T483" s="18" t="s">
        <v>970</v>
      </c>
      <c r="U483" s="40" t="s">
        <v>552</v>
      </c>
      <c r="V483" s="40" t="s">
        <v>552</v>
      </c>
      <c r="W483" s="40" t="s">
        <v>545</v>
      </c>
      <c r="X483" s="3"/>
      <c r="Y483"/>
    </row>
    <row r="484" spans="1:25" hidden="1" x14ac:dyDescent="0.25">
      <c r="A484" s="10">
        <v>118</v>
      </c>
      <c r="B484" s="1">
        <f>IFERROR(VLOOKUP(ТабПозиции[[#This Row],[orderNum]],ТабЗаказы[#Data],MATCH(B$7,ТабЗаказы[#Headers],0),0),"")</f>
        <v>45451</v>
      </c>
      <c r="C484" t="str">
        <f>MONTH(ТабПозиции[[#This Row],[date]])&amp;"/"&amp;YEAR(ТабПозиции[[#This Row],[date]])</f>
        <v>6/2024</v>
      </c>
      <c r="D484" s="1" t="str">
        <f>IFERROR(VLOOKUP(ТабПозиции[[#This Row],[orderNum]],ТабЗаказы[#Data],MATCH(D$7,ТабЗаказы[#Headers],0),0),"")</f>
        <v/>
      </c>
      <c r="E484" s="1" t="str">
        <f>IFERROR(VLOOKUP(ТабПозиции[[#This Row],[orderNum]],ТабЗаказы[#Data],MATCH(E$7,ТабЗаказы[#Headers],0),0),"")</f>
        <v/>
      </c>
      <c r="F484" s="16" t="s">
        <v>996</v>
      </c>
      <c r="G484" s="40" t="s">
        <v>545</v>
      </c>
      <c r="I484" s="18">
        <v>45454</v>
      </c>
      <c r="J484" s="10">
        <v>1</v>
      </c>
      <c r="K484" s="10">
        <v>1496</v>
      </c>
      <c r="L484">
        <v>1496</v>
      </c>
      <c r="M484" s="10">
        <v>1575</v>
      </c>
      <c r="N484">
        <f t="shared" si="9"/>
        <v>1575</v>
      </c>
      <c r="P4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Row],[orderNum]],ТабПозиции[orderSumm])&gt;1500),ABS(N484*VLOOKUP(ТабПозиции[[#This Row],[orderNum]],ТабЗаказы[#Data],MATCH("Percent",ТабЗаказы[#Headers],0),0))/100,200/COUNTIF(ТабПозиции[orderNum],ТабПозиции[[#This Row],[orderNum]])),0),"")</f>
        <v>236</v>
      </c>
      <c r="Q484">
        <f>IF(OR(ТабПозиции[[#This Row],[item]]="По штрихкоду",ТабПозиции[[#This Row],[item]]="Посылка"),ТабПозиции[[#This Row],[deliverySumm]]+ТабПозиции[[#This Row],[deliveryPost]],SUM(N484:P484))</f>
        <v>1811</v>
      </c>
      <c r="R484" s="41">
        <v>1811</v>
      </c>
      <c r="S484" s="46">
        <f>ТабПозиции[[#This Row],[totalSumm]]-ТабПозиции[[#This Row],[payment]]</f>
        <v>0</v>
      </c>
      <c r="T484" s="18" t="s">
        <v>970</v>
      </c>
      <c r="U484" s="40" t="s">
        <v>545</v>
      </c>
      <c r="V484" s="40" t="s">
        <v>545</v>
      </c>
      <c r="W484" s="40" t="s">
        <v>545</v>
      </c>
      <c r="X484" s="3"/>
      <c r="Y484"/>
    </row>
    <row r="485" spans="1:25" hidden="1" x14ac:dyDescent="0.25">
      <c r="A485" s="10">
        <v>118</v>
      </c>
      <c r="B485" s="1">
        <f>IFERROR(VLOOKUP(ТабПозиции[[#This Row],[orderNum]],ТабЗаказы[#Data],MATCH(B$7,ТабЗаказы[#Headers],0),0),"")</f>
        <v>45451</v>
      </c>
      <c r="C485" t="str">
        <f>MONTH(ТабПозиции[[#This Row],[date]])&amp;"/"&amp;YEAR(ТабПозиции[[#This Row],[date]])</f>
        <v>6/2024</v>
      </c>
      <c r="D485" s="1" t="str">
        <f>IFERROR(VLOOKUP(ТабПозиции[[#This Row],[orderNum]],ТабЗаказы[#Data],MATCH(D$7,ТабЗаказы[#Headers],0),0),"")</f>
        <v/>
      </c>
      <c r="E485" s="1" t="str">
        <f>IFERROR(VLOOKUP(ТабПозиции[[#This Row],[orderNum]],ТабЗаказы[#Data],MATCH(E$7,ТабЗаказы[#Headers],0),0),"")</f>
        <v/>
      </c>
      <c r="F485" s="16" t="s">
        <v>997</v>
      </c>
      <c r="G485" s="40" t="s">
        <v>545</v>
      </c>
      <c r="I485" s="18">
        <v>45454</v>
      </c>
      <c r="J485" s="10">
        <v>1</v>
      </c>
      <c r="K485" s="10">
        <v>228</v>
      </c>
      <c r="L485">
        <v>228</v>
      </c>
      <c r="M485" s="10">
        <v>240</v>
      </c>
      <c r="N485">
        <f t="shared" si="9"/>
        <v>240</v>
      </c>
      <c r="P4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Row],[orderNum]],ТабПозиции[orderSumm])&gt;1500),ABS(N485*VLOOKUP(ТабПозиции[[#This Row],[orderNum]],ТабЗаказы[#Data],MATCH("Percent",ТабЗаказы[#Headers],0),0))/100,200/COUNTIF(ТабПозиции[orderNum],ТабПозиции[[#This Row],[orderNum]])),0),"")</f>
        <v>36</v>
      </c>
      <c r="Q485">
        <f>IF(OR(ТабПозиции[[#This Row],[item]]="По штрихкоду",ТабПозиции[[#This Row],[item]]="Посылка"),ТабПозиции[[#This Row],[deliverySumm]]+ТабПозиции[[#This Row],[deliveryPost]],SUM(N485:P485))</f>
        <v>276</v>
      </c>
      <c r="R485" s="41">
        <v>276</v>
      </c>
      <c r="S485" s="46">
        <f>ТабПозиции[[#This Row],[totalSumm]]-ТабПозиции[[#This Row],[payment]]</f>
        <v>0</v>
      </c>
      <c r="T485" s="18" t="s">
        <v>970</v>
      </c>
      <c r="U485" s="40" t="s">
        <v>545</v>
      </c>
      <c r="V485" s="40" t="s">
        <v>545</v>
      </c>
      <c r="W485" s="40" t="s">
        <v>545</v>
      </c>
      <c r="X485" s="3"/>
      <c r="Y485"/>
    </row>
    <row r="486" spans="1:25" hidden="1" x14ac:dyDescent="0.25">
      <c r="A486" s="10">
        <v>118</v>
      </c>
      <c r="B486" s="1">
        <f>IFERROR(VLOOKUP(ТабПозиции[[#This Row],[orderNum]],ТабЗаказы[#Data],MATCH(B$7,ТабЗаказы[#Headers],0),0),"")</f>
        <v>45451</v>
      </c>
      <c r="C486" t="str">
        <f>MONTH(ТабПозиции[[#This Row],[date]])&amp;"/"&amp;YEAR(ТабПозиции[[#This Row],[date]])</f>
        <v>6/2024</v>
      </c>
      <c r="D486" s="1" t="str">
        <f>IFERROR(VLOOKUP(ТабПозиции[[#This Row],[orderNum]],ТабЗаказы[#Data],MATCH(D$7,ТабЗаказы[#Headers],0),0),"")</f>
        <v/>
      </c>
      <c r="E486" s="1" t="str">
        <f>IFERROR(VLOOKUP(ТабПозиции[[#This Row],[orderNum]],ТабЗаказы[#Data],MATCH(E$7,ТабЗаказы[#Headers],0),0),"")</f>
        <v/>
      </c>
      <c r="F486" s="16" t="s">
        <v>998</v>
      </c>
      <c r="G486" s="40" t="s">
        <v>545</v>
      </c>
      <c r="I486" s="18">
        <v>45454</v>
      </c>
      <c r="J486" s="10">
        <v>1</v>
      </c>
      <c r="K486" s="10">
        <v>400</v>
      </c>
      <c r="L486">
        <v>400</v>
      </c>
      <c r="M486" s="10">
        <v>422</v>
      </c>
      <c r="N486">
        <f t="shared" si="9"/>
        <v>422</v>
      </c>
      <c r="P4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Row],[orderNum]],ТабПозиции[orderSumm])&gt;1500),ABS(N486*VLOOKUP(ТабПозиции[[#This Row],[orderNum]],ТабЗаказы[#Data],MATCH("Percent",ТабЗаказы[#Headers],0),0))/100,200/COUNTIF(ТабПозиции[orderNum],ТабПозиции[[#This Row],[orderNum]])),0),"")</f>
        <v>63</v>
      </c>
      <c r="Q486">
        <f>IF(OR(ТабПозиции[[#This Row],[item]]="По штрихкоду",ТабПозиции[[#This Row],[item]]="Посылка"),ТабПозиции[[#This Row],[deliverySumm]]+ТабПозиции[[#This Row],[deliveryPost]],SUM(N486:P486))</f>
        <v>485</v>
      </c>
      <c r="R486" s="41">
        <v>485</v>
      </c>
      <c r="S486" s="46">
        <f>ТабПозиции[[#This Row],[totalSumm]]-ТабПозиции[[#This Row],[payment]]</f>
        <v>0</v>
      </c>
      <c r="T486" s="18" t="s">
        <v>970</v>
      </c>
      <c r="U486" s="40" t="s">
        <v>545</v>
      </c>
      <c r="V486" s="40" t="s">
        <v>545</v>
      </c>
      <c r="W486" s="40" t="s">
        <v>545</v>
      </c>
      <c r="X486" s="3"/>
      <c r="Y486"/>
    </row>
    <row r="487" spans="1:25" hidden="1" x14ac:dyDescent="0.25">
      <c r="A487" s="10">
        <v>118</v>
      </c>
      <c r="B487" s="1">
        <f>IFERROR(VLOOKUP(ТабПозиции[[#This Row],[orderNum]],ТабЗаказы[#Data],MATCH(B$7,ТабЗаказы[#Headers],0),0),"")</f>
        <v>45451</v>
      </c>
      <c r="C487" t="str">
        <f>MONTH(ТабПозиции[[#This Row],[date]])&amp;"/"&amp;YEAR(ТабПозиции[[#This Row],[date]])</f>
        <v>6/2024</v>
      </c>
      <c r="D487" s="1" t="str">
        <f>IFERROR(VLOOKUP(ТабПозиции[[#This Row],[orderNum]],ТабЗаказы[#Data],MATCH(D$7,ТабЗаказы[#Headers],0),0),"")</f>
        <v/>
      </c>
      <c r="E487" s="1" t="str">
        <f>IFERROR(VLOOKUP(ТабПозиции[[#This Row],[orderNum]],ТабЗаказы[#Data],MATCH(E$7,ТабЗаказы[#Headers],0),0),"")</f>
        <v/>
      </c>
      <c r="F487" s="16" t="s">
        <v>999</v>
      </c>
      <c r="G487" s="40" t="s">
        <v>545</v>
      </c>
      <c r="I487" s="18">
        <v>45454</v>
      </c>
      <c r="J487" s="10">
        <v>1</v>
      </c>
      <c r="K487" s="10">
        <v>1189</v>
      </c>
      <c r="L487">
        <v>1189</v>
      </c>
      <c r="M487" s="10">
        <v>1252</v>
      </c>
      <c r="N487">
        <f t="shared" si="9"/>
        <v>1252</v>
      </c>
      <c r="P4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Row],[orderNum]],ТабПозиции[orderSumm])&gt;1500),ABS(N487*VLOOKUP(ТабПозиции[[#This Row],[orderNum]],ТабЗаказы[#Data],MATCH("Percent",ТабЗаказы[#Headers],0),0))/100,200/COUNTIF(ТабПозиции[orderNum],ТабПозиции[[#This Row],[orderNum]])),0),"")</f>
        <v>188</v>
      </c>
      <c r="Q487">
        <f>IF(OR(ТабПозиции[[#This Row],[item]]="По штрихкоду",ТабПозиции[[#This Row],[item]]="Посылка"),ТабПозиции[[#This Row],[deliverySumm]]+ТабПозиции[[#This Row],[deliveryPost]],SUM(N487:P487))</f>
        <v>1440</v>
      </c>
      <c r="R487" s="41">
        <v>1440</v>
      </c>
      <c r="S487" s="46">
        <f>ТабПозиции[[#This Row],[totalSumm]]-ТабПозиции[[#This Row],[payment]]</f>
        <v>0</v>
      </c>
      <c r="T487" s="18" t="s">
        <v>970</v>
      </c>
      <c r="U487" s="40" t="s">
        <v>545</v>
      </c>
      <c r="V487" s="40" t="s">
        <v>545</v>
      </c>
      <c r="W487" s="40" t="s">
        <v>545</v>
      </c>
      <c r="X487" s="3"/>
      <c r="Y487"/>
    </row>
    <row r="488" spans="1:25" hidden="1" x14ac:dyDescent="0.25">
      <c r="A488" s="10">
        <v>118</v>
      </c>
      <c r="B488" s="1">
        <f>IFERROR(VLOOKUP(ТабПозиции[[#This Row],[orderNum]],ТабЗаказы[#Data],MATCH(B$7,ТабЗаказы[#Headers],0),0),"")</f>
        <v>45451</v>
      </c>
      <c r="C488" t="str">
        <f>MONTH(ТабПозиции[[#This Row],[date]])&amp;"/"&amp;YEAR(ТабПозиции[[#This Row],[date]])</f>
        <v>6/2024</v>
      </c>
      <c r="D488" s="1" t="str">
        <f>IFERROR(VLOOKUP(ТабПозиции[[#This Row],[orderNum]],ТабЗаказы[#Data],MATCH(D$7,ТабЗаказы[#Headers],0),0),"")</f>
        <v/>
      </c>
      <c r="E488" s="1" t="str">
        <f>IFERROR(VLOOKUP(ТабПозиции[[#This Row],[orderNum]],ТабЗаказы[#Data],MATCH(E$7,ТабЗаказы[#Headers],0),0),"")</f>
        <v/>
      </c>
      <c r="F488" s="16" t="s">
        <v>1000</v>
      </c>
      <c r="G488" s="40" t="s">
        <v>545</v>
      </c>
      <c r="I488" s="18">
        <v>45454</v>
      </c>
      <c r="J488" s="10">
        <v>1</v>
      </c>
      <c r="K488" s="10">
        <v>1786</v>
      </c>
      <c r="L488">
        <v>1786</v>
      </c>
      <c r="M488" s="10">
        <v>1880</v>
      </c>
      <c r="N488">
        <f t="shared" si="9"/>
        <v>1880</v>
      </c>
      <c r="P4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Row],[orderNum]],ТабПозиции[orderSumm])&gt;1500),ABS(N488*VLOOKUP(ТабПозиции[[#This Row],[orderNum]],ТабЗаказы[#Data],MATCH("Percent",ТабЗаказы[#Headers],0),0))/100,200/COUNTIF(ТабПозиции[orderNum],ТабПозиции[[#This Row],[orderNum]])),0),"")</f>
        <v>282</v>
      </c>
      <c r="Q488">
        <f>IF(OR(ТабПозиции[[#This Row],[item]]="По штрихкоду",ТабПозиции[[#This Row],[item]]="Посылка"),ТабПозиции[[#This Row],[deliverySumm]]+ТабПозиции[[#This Row],[deliveryPost]],SUM(N488:P488))</f>
        <v>2162</v>
      </c>
      <c r="R488" s="41">
        <v>2162</v>
      </c>
      <c r="S488" s="46">
        <f>ТабПозиции[[#This Row],[totalSumm]]-ТабПозиции[[#This Row],[payment]]</f>
        <v>0</v>
      </c>
      <c r="T488" s="18" t="s">
        <v>970</v>
      </c>
      <c r="U488" s="40" t="s">
        <v>545</v>
      </c>
      <c r="V488" s="40" t="s">
        <v>545</v>
      </c>
      <c r="W488" s="40" t="s">
        <v>545</v>
      </c>
      <c r="X488" s="3"/>
      <c r="Y488"/>
    </row>
    <row r="489" spans="1:25" hidden="1" x14ac:dyDescent="0.25">
      <c r="A489" s="10">
        <v>125</v>
      </c>
      <c r="B489" s="1">
        <f>IFERROR(VLOOKUP(ТабПозиции[[#This Row],[orderNum]],ТабЗаказы[#Data],MATCH(B$7,ТабЗаказы[#Headers],0),0),"")</f>
        <v>45452</v>
      </c>
      <c r="C489" t="str">
        <f>MONTH(ТабПозиции[[#This Row],[date]])&amp;"/"&amp;YEAR(ТабПозиции[[#This Row],[date]])</f>
        <v>6/2024</v>
      </c>
      <c r="D489" s="1" t="str">
        <f>IFERROR(VLOOKUP(ТабПозиции[[#This Row],[orderNum]],ТабЗаказы[#Data],MATCH(D$7,ТабЗаказы[#Headers],0),0),"")</f>
        <v/>
      </c>
      <c r="E489" s="1" t="str">
        <f>IFERROR(VLOOKUP(ТабПозиции[[#This Row],[orderNum]],ТабЗаказы[#Data],MATCH(E$7,ТабЗаказы[#Headers],0),0),"")</f>
        <v/>
      </c>
      <c r="F489" s="16" t="s">
        <v>1001</v>
      </c>
      <c r="G489" s="40" t="s">
        <v>545</v>
      </c>
      <c r="I489" s="18">
        <v>45454</v>
      </c>
      <c r="J489" s="10">
        <v>2</v>
      </c>
      <c r="K489" s="10">
        <v>1455</v>
      </c>
      <c r="L489">
        <v>2910</v>
      </c>
      <c r="M489" s="10">
        <v>1532</v>
      </c>
      <c r="N489">
        <f t="shared" si="9"/>
        <v>3064</v>
      </c>
      <c r="P4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Row],[orderNum]],ТабПозиции[orderSumm])&gt;1500),ABS(N489*VLOOKUP(ТабПозиции[[#This Row],[orderNum]],ТабЗаказы[#Data],MATCH("Percent",ТабЗаказы[#Headers],0),0))/100,200/COUNTIF(ТабПозиции[orderNum],ТабПозиции[[#This Row],[orderNum]])),0),"")</f>
        <v>460</v>
      </c>
      <c r="Q489">
        <f>IF(OR(ТабПозиции[[#This Row],[item]]="По штрихкоду",ТабПозиции[[#This Row],[item]]="Посылка"),ТабПозиции[[#This Row],[deliverySumm]]+ТабПозиции[[#This Row],[deliveryPost]],SUM(N489:P489))</f>
        <v>3524</v>
      </c>
      <c r="R489" s="41">
        <v>3524</v>
      </c>
      <c r="S489" s="46">
        <f>ТабПозиции[[#This Row],[totalSumm]]-ТабПозиции[[#This Row],[payment]]</f>
        <v>0</v>
      </c>
      <c r="T489" s="18" t="s">
        <v>970</v>
      </c>
      <c r="U489" s="40" t="s">
        <v>545</v>
      </c>
      <c r="V489" s="40" t="s">
        <v>545</v>
      </c>
      <c r="W489" s="40" t="s">
        <v>545</v>
      </c>
      <c r="X489" s="3"/>
      <c r="Y489"/>
    </row>
    <row r="490" spans="1:25" hidden="1" x14ac:dyDescent="0.25">
      <c r="A490" s="10">
        <v>125</v>
      </c>
      <c r="B490" s="1">
        <f>IFERROR(VLOOKUP(ТабПозиции[[#This Row],[orderNum]],ТабЗаказы[#Data],MATCH(B$7,ТабЗаказы[#Headers],0),0),"")</f>
        <v>45452</v>
      </c>
      <c r="C490" t="str">
        <f>MONTH(ТабПозиции[[#This Row],[date]])&amp;"/"&amp;YEAR(ТабПозиции[[#This Row],[date]])</f>
        <v>6/2024</v>
      </c>
      <c r="D490" s="1" t="str">
        <f>IFERROR(VLOOKUP(ТабПозиции[[#This Row],[orderNum]],ТабЗаказы[#Data],MATCH(D$7,ТабЗаказы[#Headers],0),0),"")</f>
        <v/>
      </c>
      <c r="E490" s="1" t="str">
        <f>IFERROR(VLOOKUP(ТабПозиции[[#This Row],[orderNum]],ТабЗаказы[#Data],MATCH(E$7,ТабЗаказы[#Headers],0),0),"")</f>
        <v/>
      </c>
      <c r="F490" s="16" t="s">
        <v>1002</v>
      </c>
      <c r="G490" s="40" t="s">
        <v>545</v>
      </c>
      <c r="I490" s="18">
        <v>45454</v>
      </c>
      <c r="J490" s="10">
        <v>1</v>
      </c>
      <c r="K490" s="10">
        <v>1827</v>
      </c>
      <c r="L490">
        <v>1827</v>
      </c>
      <c r="M490" s="10">
        <v>1924</v>
      </c>
      <c r="N490">
        <f t="shared" si="9"/>
        <v>1924</v>
      </c>
      <c r="P4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Row],[orderNum]],ТабПозиции[orderSumm])&gt;1500),ABS(N490*VLOOKUP(ТабПозиции[[#This Row],[orderNum]],ТабЗаказы[#Data],MATCH("Percent",ТабЗаказы[#Headers],0),0))/100,200/COUNTIF(ТабПозиции[orderNum],ТабПозиции[[#This Row],[orderNum]])),0),"")</f>
        <v>289</v>
      </c>
      <c r="Q490">
        <f>IF(OR(ТабПозиции[[#This Row],[item]]="По штрихкоду",ТабПозиции[[#This Row],[item]]="Посылка"),ТабПозиции[[#This Row],[deliverySumm]]+ТабПозиции[[#This Row],[deliveryPost]],SUM(N490:P490))</f>
        <v>2213</v>
      </c>
      <c r="R490" s="41">
        <v>2213</v>
      </c>
      <c r="S490" s="46">
        <f>ТабПозиции[[#This Row],[totalSumm]]-ТабПозиции[[#This Row],[payment]]</f>
        <v>0</v>
      </c>
      <c r="T490" s="18" t="s">
        <v>970</v>
      </c>
      <c r="U490" s="40" t="s">
        <v>545</v>
      </c>
      <c r="V490" s="40" t="s">
        <v>545</v>
      </c>
      <c r="W490" s="40" t="s">
        <v>545</v>
      </c>
      <c r="X490" s="3"/>
      <c r="Y490"/>
    </row>
    <row r="491" spans="1:25" hidden="1" x14ac:dyDescent="0.25">
      <c r="A491" s="10">
        <v>118</v>
      </c>
      <c r="B491" s="1">
        <f>IFERROR(VLOOKUP(ТабПозиции[[#This Row],[orderNum]],ТабЗаказы[#Data],MATCH(B$7,ТабЗаказы[#Headers],0),0),"")</f>
        <v>45451</v>
      </c>
      <c r="C491" t="str">
        <f>MONTH(ТабПозиции[[#This Row],[date]])&amp;"/"&amp;YEAR(ТабПозиции[[#This Row],[date]])</f>
        <v>6/2024</v>
      </c>
      <c r="D491" s="1" t="str">
        <f>IFERROR(VLOOKUP(ТабПозиции[[#This Row],[orderNum]],ТабЗаказы[#Data],MATCH(D$7,ТабЗаказы[#Headers],0),0),"")</f>
        <v/>
      </c>
      <c r="E491" s="1" t="str">
        <f>IFERROR(VLOOKUP(ТабПозиции[[#This Row],[orderNum]],ТабЗаказы[#Data],MATCH(E$7,ТабЗаказы[#Headers],0),0),"")</f>
        <v/>
      </c>
      <c r="F491" s="16" t="s">
        <v>646</v>
      </c>
      <c r="G491" s="40" t="s">
        <v>545</v>
      </c>
      <c r="I491" s="18">
        <v>45455</v>
      </c>
      <c r="J491" s="10">
        <v>1</v>
      </c>
      <c r="K491" s="10">
        <v>161</v>
      </c>
      <c r="L491">
        <v>161</v>
      </c>
      <c r="M491" s="10">
        <v>170</v>
      </c>
      <c r="N491">
        <f t="shared" si="9"/>
        <v>170</v>
      </c>
      <c r="P4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Row],[orderNum]],ТабПозиции[orderSumm])&gt;1500),ABS(N491*VLOOKUP(ТабПозиции[[#This Row],[orderNum]],ТабЗаказы[#Data],MATCH("Percent",ТабЗаказы[#Headers],0),0))/100,200/COUNTIF(ТабПозиции[orderNum],ТабПозиции[[#This Row],[orderNum]])),0),"")</f>
        <v>26</v>
      </c>
      <c r="Q491">
        <f>IF(OR(ТабПозиции[[#This Row],[item]]="По штрихкоду",ТабПозиции[[#This Row],[item]]="Посылка"),ТабПозиции[[#This Row],[deliverySumm]]+ТабПозиции[[#This Row],[deliveryPost]],SUM(N491:P491))</f>
        <v>196</v>
      </c>
      <c r="R491" s="41">
        <v>196</v>
      </c>
      <c r="S491" s="46">
        <f>ТабПозиции[[#This Row],[totalSumm]]-ТабПозиции[[#This Row],[payment]]</f>
        <v>0</v>
      </c>
      <c r="T491" s="18" t="s">
        <v>970</v>
      </c>
      <c r="U491" s="40" t="s">
        <v>545</v>
      </c>
      <c r="V491" s="40" t="s">
        <v>545</v>
      </c>
      <c r="W491" s="40" t="s">
        <v>545</v>
      </c>
      <c r="X491" s="3"/>
      <c r="Y491"/>
    </row>
    <row r="492" spans="1:25" hidden="1" x14ac:dyDescent="0.25">
      <c r="A492" s="10">
        <v>118</v>
      </c>
      <c r="B492" s="1">
        <f>IFERROR(VLOOKUP(ТабПозиции[[#This Row],[orderNum]],ТабЗаказы[#Data],MATCH(B$7,ТабЗаказы[#Headers],0),0),"")</f>
        <v>45451</v>
      </c>
      <c r="C492" t="str">
        <f>MONTH(ТабПозиции[[#This Row],[date]])&amp;"/"&amp;YEAR(ТабПозиции[[#This Row],[date]])</f>
        <v>6/2024</v>
      </c>
      <c r="D492" s="1" t="str">
        <f>IFERROR(VLOOKUP(ТабПозиции[[#This Row],[orderNum]],ТабЗаказы[#Data],MATCH(D$7,ТабЗаказы[#Headers],0),0),"")</f>
        <v/>
      </c>
      <c r="E492" s="1" t="str">
        <f>IFERROR(VLOOKUP(ТабПозиции[[#This Row],[orderNum]],ТабЗаказы[#Data],MATCH(E$7,ТабЗаказы[#Headers],0),0),"")</f>
        <v/>
      </c>
      <c r="F492" s="16" t="s">
        <v>1003</v>
      </c>
      <c r="G492" s="40" t="s">
        <v>545</v>
      </c>
      <c r="I492" s="18">
        <v>45455</v>
      </c>
      <c r="J492" s="10">
        <v>1</v>
      </c>
      <c r="K492" s="10">
        <v>307</v>
      </c>
      <c r="L492">
        <v>307</v>
      </c>
      <c r="M492" s="10">
        <v>324</v>
      </c>
      <c r="N492">
        <f t="shared" si="9"/>
        <v>324</v>
      </c>
      <c r="P4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Row],[orderNum]],ТабПозиции[orderSumm])&gt;1500),ABS(N492*VLOOKUP(ТабПозиции[[#This Row],[orderNum]],ТабЗаказы[#Data],MATCH("Percent",ТабЗаказы[#Headers],0),0))/100,200/COUNTIF(ТабПозиции[orderNum],ТабПозиции[[#This Row],[orderNum]])),0),"")</f>
        <v>49</v>
      </c>
      <c r="Q492">
        <f>IF(OR(ТабПозиции[[#This Row],[item]]="По штрихкоду",ТабПозиции[[#This Row],[item]]="Посылка"),ТабПозиции[[#This Row],[deliverySumm]]+ТабПозиции[[#This Row],[deliveryPost]],SUM(N492:P492))</f>
        <v>373</v>
      </c>
      <c r="R492" s="41">
        <v>373</v>
      </c>
      <c r="S492" s="46">
        <f>ТабПозиции[[#This Row],[totalSumm]]-ТабПозиции[[#This Row],[payment]]</f>
        <v>0</v>
      </c>
      <c r="T492" s="18" t="s">
        <v>970</v>
      </c>
      <c r="U492" s="40" t="s">
        <v>545</v>
      </c>
      <c r="V492" s="40" t="s">
        <v>545</v>
      </c>
      <c r="W492" s="40" t="s">
        <v>545</v>
      </c>
      <c r="X492" s="3"/>
      <c r="Y492"/>
    </row>
    <row r="493" spans="1:25" hidden="1" x14ac:dyDescent="0.25">
      <c r="A493" s="10">
        <v>118</v>
      </c>
      <c r="B493" s="1">
        <f>IFERROR(VLOOKUP(ТабПозиции[[#This Row],[orderNum]],ТабЗаказы[#Data],MATCH(B$7,ТабЗаказы[#Headers],0),0),"")</f>
        <v>45451</v>
      </c>
      <c r="C493" t="str">
        <f>MONTH(ТабПозиции[[#This Row],[date]])&amp;"/"&amp;YEAR(ТабПозиции[[#This Row],[date]])</f>
        <v>6/2024</v>
      </c>
      <c r="D493" s="1" t="str">
        <f>IFERROR(VLOOKUP(ТабПозиции[[#This Row],[orderNum]],ТабЗаказы[#Data],MATCH(D$7,ТабЗаказы[#Headers],0),0),"")</f>
        <v/>
      </c>
      <c r="E493" s="1" t="str">
        <f>IFERROR(VLOOKUP(ТабПозиции[[#This Row],[orderNum]],ТабЗаказы[#Data],MATCH(E$7,ТабЗаказы[#Headers],0),0),"")</f>
        <v/>
      </c>
      <c r="F493" s="16" t="s">
        <v>633</v>
      </c>
      <c r="G493" s="40" t="s">
        <v>545</v>
      </c>
      <c r="I493" s="18">
        <v>45456</v>
      </c>
      <c r="J493" s="10">
        <v>1</v>
      </c>
      <c r="K493" s="10">
        <v>925</v>
      </c>
      <c r="L493">
        <v>925</v>
      </c>
      <c r="M493" s="10">
        <v>974</v>
      </c>
      <c r="N493">
        <f t="shared" si="9"/>
        <v>974</v>
      </c>
      <c r="P4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Row],[orderNum]],ТабПозиции[orderSumm])&gt;1500),ABS(N493*VLOOKUP(ТабПозиции[[#This Row],[orderNum]],ТабЗаказы[#Data],MATCH("Percent",ТабЗаказы[#Headers],0),0))/100,200/COUNTIF(ТабПозиции[orderNum],ТабПозиции[[#This Row],[orderNum]])),0),"")</f>
        <v>146</v>
      </c>
      <c r="Q493">
        <f>IF(OR(ТабПозиции[[#This Row],[item]]="По штрихкоду",ТабПозиции[[#This Row],[item]]="Посылка"),ТабПозиции[[#This Row],[deliverySumm]]+ТабПозиции[[#This Row],[deliveryPost]],SUM(N493:P493))</f>
        <v>1120</v>
      </c>
      <c r="R493" s="41">
        <v>1120</v>
      </c>
      <c r="S493" s="46">
        <f>ТабПозиции[[#This Row],[totalSumm]]-ТабПозиции[[#This Row],[payment]]</f>
        <v>0</v>
      </c>
      <c r="T493" s="18" t="s">
        <v>970</v>
      </c>
      <c r="U493" s="40" t="s">
        <v>545</v>
      </c>
      <c r="V493" s="40" t="s">
        <v>545</v>
      </c>
      <c r="W493" s="40" t="s">
        <v>545</v>
      </c>
      <c r="X493" s="3"/>
      <c r="Y493"/>
    </row>
    <row r="494" spans="1:25" hidden="1" x14ac:dyDescent="0.25">
      <c r="A494" s="10">
        <v>126</v>
      </c>
      <c r="B494" s="1">
        <f>IFERROR(VLOOKUP(ТабПозиции[[#This Row],[orderNum]],ТабЗаказы[#Data],MATCH(B$7,ТабЗаказы[#Headers],0),0),"")</f>
        <v>45453</v>
      </c>
      <c r="C494" t="str">
        <f>MONTH(ТабПозиции[[#This Row],[date]])&amp;"/"&amp;YEAR(ТабПозиции[[#This Row],[date]])</f>
        <v>6/2024</v>
      </c>
      <c r="D494" s="1" t="str">
        <f>IFERROR(VLOOKUP(ТабПозиции[[#This Row],[orderNum]],ТабЗаказы[#Data],MATCH(D$7,ТабЗаказы[#Headers],0),0),"")</f>
        <v/>
      </c>
      <c r="E494" s="1" t="str">
        <f>IFERROR(VLOOKUP(ТабПозиции[[#This Row],[orderNum]],ТабЗаказы[#Data],MATCH(E$7,ТабЗаказы[#Headers],0),0),"")</f>
        <v/>
      </c>
      <c r="F494" s="16" t="s">
        <v>1004</v>
      </c>
      <c r="G494" s="40" t="s">
        <v>545</v>
      </c>
      <c r="I494" s="18">
        <v>45459</v>
      </c>
      <c r="J494" s="10">
        <v>1</v>
      </c>
      <c r="K494" s="10">
        <v>4612</v>
      </c>
      <c r="L494">
        <v>4612</v>
      </c>
      <c r="M494" s="10">
        <v>5490</v>
      </c>
      <c r="N494">
        <f t="shared" si="9"/>
        <v>5490</v>
      </c>
      <c r="P4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Row],[orderNum]],ТабПозиции[orderSumm])&gt;1500),ABS(N494*VLOOKUP(ТабПозиции[[#This Row],[orderNum]],ТабЗаказы[#Data],MATCH("Percent",ТабЗаказы[#Headers],0),0))/100,200/COUNTIF(ТабПозиции[orderNum],ТабПозиции[[#This Row],[orderNum]])),0),"")</f>
        <v>824</v>
      </c>
      <c r="Q494">
        <f>IF(OR(ТабПозиции[[#This Row],[item]]="По штрихкоду",ТабПозиции[[#This Row],[item]]="Посылка"),ТабПозиции[[#This Row],[deliverySumm]]+ТабПозиции[[#This Row],[deliveryPost]],SUM(N494:P494))</f>
        <v>6314</v>
      </c>
      <c r="R494" s="41">
        <v>6314</v>
      </c>
      <c r="S494" s="46">
        <f>ТабПозиции[[#This Row],[totalSumm]]-ТабПозиции[[#This Row],[payment]]</f>
        <v>0</v>
      </c>
      <c r="T494" s="18" t="s">
        <v>1005</v>
      </c>
      <c r="U494" s="40" t="s">
        <v>545</v>
      </c>
      <c r="V494" s="40" t="s">
        <v>545</v>
      </c>
      <c r="W494" s="40" t="s">
        <v>545</v>
      </c>
      <c r="X494" s="3"/>
      <c r="Y494"/>
    </row>
    <row r="495" spans="1:25" hidden="1" x14ac:dyDescent="0.25">
      <c r="A495" s="10">
        <v>127</v>
      </c>
      <c r="B495" s="1">
        <f>IFERROR(VLOOKUP(ТабПозиции[[#This Row],[orderNum]],ТабЗаказы[#Data],MATCH(B$7,ТабЗаказы[#Headers],0),0),"")</f>
        <v>45454</v>
      </c>
      <c r="C495" t="str">
        <f>MONTH(ТабПозиции[[#This Row],[date]])&amp;"/"&amp;YEAR(ТабПозиции[[#This Row],[date]])</f>
        <v>6/2024</v>
      </c>
      <c r="D495" s="1" t="str">
        <f>IFERROR(VLOOKUP(ТабПозиции[[#This Row],[orderNum]],ТабЗаказы[#Data],MATCH(D$7,ТабЗаказы[#Headers],0),0),"")</f>
        <v/>
      </c>
      <c r="E495" s="1" t="str">
        <f>IFERROR(VLOOKUP(ТабПозиции[[#This Row],[orderNum]],ТабЗаказы[#Data],MATCH(E$7,ТабЗаказы[#Headers],0),0),"")</f>
        <v/>
      </c>
      <c r="F495" s="16" t="s">
        <v>1006</v>
      </c>
      <c r="G495" s="40" t="s">
        <v>545</v>
      </c>
      <c r="I495" s="18">
        <v>45460</v>
      </c>
      <c r="J495" s="10">
        <v>1</v>
      </c>
      <c r="K495" s="10">
        <v>1619</v>
      </c>
      <c r="L495">
        <v>1619</v>
      </c>
      <c r="M495" s="10">
        <v>1705</v>
      </c>
      <c r="N495">
        <f t="shared" si="9"/>
        <v>1705</v>
      </c>
      <c r="P4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Row],[orderNum]],ТабПозиции[orderSumm])&gt;1500),ABS(N495*VLOOKUP(ТабПозиции[[#This Row],[orderNum]],ТабЗаказы[#Data],MATCH("Percent",ТабЗаказы[#Headers],0),0))/100,200/COUNTIF(ТабПозиции[orderNum],ТабПозиции[[#This Row],[orderNum]])),0),"")</f>
        <v>256</v>
      </c>
      <c r="Q495">
        <f>IF(OR(ТабПозиции[[#This Row],[item]]="По штрихкоду",ТабПозиции[[#This Row],[item]]="Посылка"),ТабПозиции[[#This Row],[deliverySumm]]+ТабПозиции[[#This Row],[deliveryPost]],SUM(N495:P495))</f>
        <v>1961</v>
      </c>
      <c r="R495" s="41">
        <v>1961</v>
      </c>
      <c r="S495" s="46">
        <f>ТабПозиции[[#This Row],[totalSumm]]-ТабПозиции[[#This Row],[payment]]</f>
        <v>0</v>
      </c>
      <c r="T495" s="18" t="s">
        <v>970</v>
      </c>
      <c r="U495" s="40" t="s">
        <v>545</v>
      </c>
      <c r="V495" s="40" t="s">
        <v>545</v>
      </c>
      <c r="W495" s="40" t="s">
        <v>545</v>
      </c>
      <c r="X495" s="3"/>
      <c r="Y495"/>
    </row>
    <row r="496" spans="1:25" hidden="1" x14ac:dyDescent="0.25">
      <c r="A496" s="10">
        <v>127</v>
      </c>
      <c r="B496" s="1">
        <f>IFERROR(VLOOKUP(ТабПозиции[[#This Row],[orderNum]],ТабЗаказы[#Data],MATCH(B$7,ТабЗаказы[#Headers],0),0),"")</f>
        <v>45454</v>
      </c>
      <c r="C496" t="str">
        <f>MONTH(ТабПозиции[[#This Row],[date]])&amp;"/"&amp;YEAR(ТабПозиции[[#This Row],[date]])</f>
        <v>6/2024</v>
      </c>
      <c r="D496" s="1" t="str">
        <f>IFERROR(VLOOKUP(ТабПозиции[[#This Row],[orderNum]],ТабЗаказы[#Data],MATCH(D$7,ТабЗаказы[#Headers],0),0),"")</f>
        <v/>
      </c>
      <c r="E496" s="1" t="str">
        <f>IFERROR(VLOOKUP(ТабПозиции[[#This Row],[orderNum]],ТабЗаказы[#Data],MATCH(E$7,ТабЗаказы[#Headers],0),0),"")</f>
        <v/>
      </c>
      <c r="F496" s="16" t="s">
        <v>1007</v>
      </c>
      <c r="G496" s="40" t="s">
        <v>545</v>
      </c>
      <c r="I496" s="18">
        <v>45456</v>
      </c>
      <c r="J496" s="10">
        <v>1</v>
      </c>
      <c r="K496" s="10">
        <v>529</v>
      </c>
      <c r="L496">
        <v>529</v>
      </c>
      <c r="M496" s="10">
        <v>557</v>
      </c>
      <c r="N496">
        <f t="shared" si="9"/>
        <v>557</v>
      </c>
      <c r="P4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Row],[orderNum]],ТабПозиции[orderSumm])&gt;1500),ABS(N496*VLOOKUP(ТабПозиции[[#This Row],[orderNum]],ТабЗаказы[#Data],MATCH("Percent",ТабЗаказы[#Headers],0),0))/100,200/COUNTIF(ТабПозиции[orderNum],ТабПозиции[[#This Row],[orderNum]])),0),"")</f>
        <v>84</v>
      </c>
      <c r="Q496">
        <f>IF(OR(ТабПозиции[[#This Row],[item]]="По штрихкоду",ТабПозиции[[#This Row],[item]]="Посылка"),ТабПозиции[[#This Row],[deliverySumm]]+ТабПозиции[[#This Row],[deliveryPost]],SUM(N496:P496))</f>
        <v>641</v>
      </c>
      <c r="R496" s="41">
        <v>641</v>
      </c>
      <c r="S496" s="46">
        <f>ТабПозиции[[#This Row],[totalSumm]]-ТабПозиции[[#This Row],[payment]]</f>
        <v>0</v>
      </c>
      <c r="T496" s="18" t="s">
        <v>970</v>
      </c>
      <c r="U496" s="40" t="s">
        <v>545</v>
      </c>
      <c r="V496" s="40" t="s">
        <v>545</v>
      </c>
      <c r="W496" s="40" t="s">
        <v>545</v>
      </c>
      <c r="X496" s="3"/>
      <c r="Y496"/>
    </row>
    <row r="497" spans="1:25" hidden="1" x14ac:dyDescent="0.25">
      <c r="A497" s="10">
        <v>127</v>
      </c>
      <c r="B497" s="1">
        <f>IFERROR(VLOOKUP(ТабПозиции[[#This Row],[orderNum]],ТабЗаказы[#Data],MATCH(B$7,ТабЗаказы[#Headers],0),0),"")</f>
        <v>45454</v>
      </c>
      <c r="C497" t="str">
        <f>MONTH(ТабПозиции[[#This Row],[date]])&amp;"/"&amp;YEAR(ТабПозиции[[#This Row],[date]])</f>
        <v>6/2024</v>
      </c>
      <c r="D497" s="1" t="str">
        <f>IFERROR(VLOOKUP(ТабПозиции[[#This Row],[orderNum]],ТабЗаказы[#Data],MATCH(D$7,ТабЗаказы[#Headers],0),0),"")</f>
        <v/>
      </c>
      <c r="E497" s="1" t="str">
        <f>IFERROR(VLOOKUP(ТабПозиции[[#This Row],[orderNum]],ТабЗаказы[#Data],MATCH(E$7,ТабЗаказы[#Headers],0),0),"")</f>
        <v/>
      </c>
      <c r="F497" s="16" t="s">
        <v>1008</v>
      </c>
      <c r="G497" s="40" t="s">
        <v>545</v>
      </c>
      <c r="I497" s="18">
        <v>45456</v>
      </c>
      <c r="J497" s="10">
        <v>1</v>
      </c>
      <c r="K497" s="10">
        <v>391</v>
      </c>
      <c r="L497">
        <v>391</v>
      </c>
      <c r="M497" s="10">
        <v>412</v>
      </c>
      <c r="N497">
        <f t="shared" si="9"/>
        <v>412</v>
      </c>
      <c r="P4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Row],[orderNum]],ТабПозиции[orderSumm])&gt;1500),ABS(N497*VLOOKUP(ТабПозиции[[#This Row],[orderNum]],ТабЗаказы[#Data],MATCH("Percent",ТабЗаказы[#Headers],0),0))/100,200/COUNTIF(ТабПозиции[orderNum],ТабПозиции[[#This Row],[orderNum]])),0),"")</f>
        <v>62</v>
      </c>
      <c r="Q497">
        <f>IF(OR(ТабПозиции[[#This Row],[item]]="По штрихкоду",ТабПозиции[[#This Row],[item]]="Посылка"),ТабПозиции[[#This Row],[deliverySumm]]+ТабПозиции[[#This Row],[deliveryPost]],SUM(N497:P497))</f>
        <v>474</v>
      </c>
      <c r="R497" s="41">
        <v>474</v>
      </c>
      <c r="S497" s="46">
        <f>ТабПозиции[[#This Row],[totalSumm]]-ТабПозиции[[#This Row],[payment]]</f>
        <v>0</v>
      </c>
      <c r="T497" s="18" t="s">
        <v>970</v>
      </c>
      <c r="U497" s="40" t="s">
        <v>545</v>
      </c>
      <c r="V497" s="40" t="s">
        <v>545</v>
      </c>
      <c r="W497" s="40" t="s">
        <v>545</v>
      </c>
      <c r="X497" s="3"/>
      <c r="Y497"/>
    </row>
    <row r="498" spans="1:25" hidden="1" x14ac:dyDescent="0.25">
      <c r="A498" s="10">
        <v>127</v>
      </c>
      <c r="B498" s="1">
        <f>IFERROR(VLOOKUP(ТабПозиции[[#This Row],[orderNum]],ТабЗаказы[#Data],MATCH(B$7,ТабЗаказы[#Headers],0),0),"")</f>
        <v>45454</v>
      </c>
      <c r="C498" t="str">
        <f>MONTH(ТабПозиции[[#This Row],[date]])&amp;"/"&amp;YEAR(ТабПозиции[[#This Row],[date]])</f>
        <v>6/2024</v>
      </c>
      <c r="D498" s="1" t="str">
        <f>IFERROR(VLOOKUP(ТабПозиции[[#This Row],[orderNum]],ТабЗаказы[#Data],MATCH(D$7,ТабЗаказы[#Headers],0),0),"")</f>
        <v/>
      </c>
      <c r="E498" s="1" t="str">
        <f>IFERROR(VLOOKUP(ТабПозиции[[#This Row],[orderNum]],ТабЗаказы[#Data],MATCH(E$7,ТабЗаказы[#Headers],0),0),"")</f>
        <v/>
      </c>
      <c r="F498" s="16" t="s">
        <v>1009</v>
      </c>
      <c r="G498" s="40" t="s">
        <v>545</v>
      </c>
      <c r="I498" s="18">
        <v>45457</v>
      </c>
      <c r="J498" s="10">
        <v>1</v>
      </c>
      <c r="K498" s="10">
        <v>398</v>
      </c>
      <c r="L498">
        <v>398</v>
      </c>
      <c r="M498" s="10">
        <v>419</v>
      </c>
      <c r="N498">
        <f t="shared" si="9"/>
        <v>419</v>
      </c>
      <c r="P4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Row],[orderNum]],ТабПозиции[orderSumm])&gt;1500),ABS(N498*VLOOKUP(ТабПозиции[[#This Row],[orderNum]],ТабЗаказы[#Data],MATCH("Percent",ТабЗаказы[#Headers],0),0))/100,200/COUNTIF(ТабПозиции[orderNum],ТабПозиции[[#This Row],[orderNum]])),0),"")</f>
        <v>63</v>
      </c>
      <c r="Q498">
        <f>IF(OR(ТабПозиции[[#This Row],[item]]="По штрихкоду",ТабПозиции[[#This Row],[item]]="Посылка"),ТабПозиции[[#This Row],[deliverySumm]]+ТабПозиции[[#This Row],[deliveryPost]],SUM(N498:P498))</f>
        <v>482</v>
      </c>
      <c r="R498" s="41">
        <v>482</v>
      </c>
      <c r="S498" s="46">
        <f>ТабПозиции[[#This Row],[totalSumm]]-ТабПозиции[[#This Row],[payment]]</f>
        <v>0</v>
      </c>
      <c r="T498" s="18" t="s">
        <v>970</v>
      </c>
      <c r="U498" s="40" t="s">
        <v>545</v>
      </c>
      <c r="V498" s="40" t="s">
        <v>545</v>
      </c>
      <c r="W498" s="40" t="s">
        <v>545</v>
      </c>
      <c r="X498" s="3"/>
      <c r="Y498"/>
    </row>
    <row r="499" spans="1:25" hidden="1" x14ac:dyDescent="0.25">
      <c r="A499" s="10">
        <v>127</v>
      </c>
      <c r="B499" s="1">
        <f>IFERROR(VLOOKUP(ТабПозиции[[#This Row],[orderNum]],ТабЗаказы[#Data],MATCH(B$7,ТабЗаказы[#Headers],0),0),"")</f>
        <v>45454</v>
      </c>
      <c r="C499" t="str">
        <f>MONTH(ТабПозиции[[#This Row],[date]])&amp;"/"&amp;YEAR(ТабПозиции[[#This Row],[date]])</f>
        <v>6/2024</v>
      </c>
      <c r="D499" s="1" t="str">
        <f>IFERROR(VLOOKUP(ТабПозиции[[#This Row],[orderNum]],ТабЗаказы[#Data],MATCH(D$7,ТабЗаказы[#Headers],0),0),"")</f>
        <v/>
      </c>
      <c r="E499" s="1" t="str">
        <f>IFERROR(VLOOKUP(ТабПозиции[[#This Row],[orderNum]],ТабЗаказы[#Data],MATCH(E$7,ТабЗаказы[#Headers],0),0),"")</f>
        <v/>
      </c>
      <c r="F499" s="16" t="s">
        <v>1010</v>
      </c>
      <c r="G499" s="40" t="s">
        <v>545</v>
      </c>
      <c r="I499" s="18">
        <v>45456</v>
      </c>
      <c r="J499" s="10">
        <v>1</v>
      </c>
      <c r="K499" s="10">
        <v>440</v>
      </c>
      <c r="L499">
        <v>440</v>
      </c>
      <c r="M499" s="10">
        <v>464</v>
      </c>
      <c r="N499">
        <f t="shared" si="9"/>
        <v>464</v>
      </c>
      <c r="P4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Row],[orderNum]],ТабПозиции[orderSumm])&gt;1500),ABS(N499*VLOOKUP(ТабПозиции[[#This Row],[orderNum]],ТабЗаказы[#Data],MATCH("Percent",ТабЗаказы[#Headers],0),0))/100,200/COUNTIF(ТабПозиции[orderNum],ТабПозиции[[#This Row],[orderNum]])),0),"")</f>
        <v>70</v>
      </c>
      <c r="Q499">
        <f>IF(OR(ТабПозиции[[#This Row],[item]]="По штрихкоду",ТабПозиции[[#This Row],[item]]="Посылка"),ТабПозиции[[#This Row],[deliverySumm]]+ТабПозиции[[#This Row],[deliveryPost]],SUM(N499:P499))</f>
        <v>534</v>
      </c>
      <c r="R499" s="41">
        <v>534</v>
      </c>
      <c r="S499" s="46">
        <f>ТабПозиции[[#This Row],[totalSumm]]-ТабПозиции[[#This Row],[payment]]</f>
        <v>0</v>
      </c>
      <c r="T499" s="18" t="s">
        <v>970</v>
      </c>
      <c r="U499" s="40" t="s">
        <v>545</v>
      </c>
      <c r="V499" s="40" t="s">
        <v>545</v>
      </c>
      <c r="W499" s="40" t="s">
        <v>545</v>
      </c>
      <c r="X499" s="3"/>
      <c r="Y499"/>
    </row>
    <row r="500" spans="1:25" hidden="1" x14ac:dyDescent="0.25">
      <c r="A500" s="10">
        <v>128</v>
      </c>
      <c r="B500" s="1">
        <f>IFERROR(VLOOKUP(ТабПозиции[[#This Row],[orderNum]],ТабЗаказы[#Data],MATCH(B$7,ТабЗаказы[#Headers],0),0),"")</f>
        <v>45454</v>
      </c>
      <c r="C500" t="str">
        <f>MONTH(ТабПозиции[[#This Row],[date]])&amp;"/"&amp;YEAR(ТабПозиции[[#This Row],[date]])</f>
        <v>6/2024</v>
      </c>
      <c r="D500" s="1" t="str">
        <f>IFERROR(VLOOKUP(ТабПозиции[[#This Row],[orderNum]],ТабЗаказы[#Data],MATCH(D$7,ТабЗаказы[#Headers],0),0),"")</f>
        <v/>
      </c>
      <c r="E500" s="1" t="str">
        <f>IFERROR(VLOOKUP(ТабПозиции[[#This Row],[orderNum]],ТабЗаказы[#Data],MATCH(E$7,ТабЗаказы[#Headers],0),0),"")</f>
        <v/>
      </c>
      <c r="F500" s="16" t="s">
        <v>1011</v>
      </c>
      <c r="G500" s="40" t="s">
        <v>545</v>
      </c>
      <c r="I500" s="18">
        <v>45458</v>
      </c>
      <c r="J500" s="10">
        <v>1</v>
      </c>
      <c r="K500" s="10">
        <v>8896</v>
      </c>
      <c r="L500">
        <v>8896</v>
      </c>
      <c r="M500" s="10">
        <v>9356</v>
      </c>
      <c r="N500">
        <f t="shared" si="9"/>
        <v>9356</v>
      </c>
      <c r="P5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Row],[orderNum]],ТабПозиции[orderSumm])&gt;1500),ABS(N500*VLOOKUP(ТабПозиции[[#This Row],[orderNum]],ТабЗаказы[#Data],MATCH("Percent",ТабЗаказы[#Headers],0),0))/100,200/COUNTIF(ТабПозиции[orderNum],ТабПозиции[[#This Row],[orderNum]])),0),"")</f>
        <v>936</v>
      </c>
      <c r="Q500">
        <f>IF(OR(ТабПозиции[[#This Row],[item]]="По штрихкоду",ТабПозиции[[#This Row],[item]]="Посылка"),ТабПозиции[[#This Row],[deliverySumm]]+ТабПозиции[[#This Row],[deliveryPost]],SUM(N500:P500))</f>
        <v>10292</v>
      </c>
      <c r="R500" s="41">
        <v>10292</v>
      </c>
      <c r="S500" s="46">
        <f>ТабПозиции[[#This Row],[totalSumm]]-ТабПозиции[[#This Row],[payment]]</f>
        <v>0</v>
      </c>
      <c r="T500" s="18" t="s">
        <v>960</v>
      </c>
      <c r="U500" s="40" t="s">
        <v>545</v>
      </c>
      <c r="V500" s="40" t="s">
        <v>545</v>
      </c>
      <c r="W500" s="40" t="s">
        <v>545</v>
      </c>
      <c r="X500" s="3"/>
      <c r="Y500"/>
    </row>
    <row r="501" spans="1:25" hidden="1" x14ac:dyDescent="0.25">
      <c r="A501" s="10">
        <v>128</v>
      </c>
      <c r="B501" s="1">
        <f>IFERROR(VLOOKUP(ТабПозиции[[#This Row],[orderNum]],ТабЗаказы[#Data],MATCH(B$7,ТабЗаказы[#Headers],0),0),"")</f>
        <v>45454</v>
      </c>
      <c r="C501" t="str">
        <f>MONTH(ТабПозиции[[#This Row],[date]])&amp;"/"&amp;YEAR(ТабПозиции[[#This Row],[date]])</f>
        <v>6/2024</v>
      </c>
      <c r="D501" s="1" t="str">
        <f>IFERROR(VLOOKUP(ТабПозиции[[#This Row],[orderNum]],ТабЗаказы[#Data],MATCH(D$7,ТабЗаказы[#Headers],0),0),"")</f>
        <v/>
      </c>
      <c r="E501" s="1" t="str">
        <f>IFERROR(VLOOKUP(ТабПозиции[[#This Row],[orderNum]],ТабЗаказы[#Data],MATCH(E$7,ТабЗаказы[#Headers],0),0),"")</f>
        <v/>
      </c>
      <c r="F501" s="16" t="s">
        <v>1012</v>
      </c>
      <c r="G501" s="40" t="s">
        <v>545</v>
      </c>
      <c r="I501" s="18">
        <v>45456</v>
      </c>
      <c r="J501" s="10">
        <v>1</v>
      </c>
      <c r="K501" s="10">
        <v>1590</v>
      </c>
      <c r="L501">
        <v>1590</v>
      </c>
      <c r="M501" s="10">
        <v>1711</v>
      </c>
      <c r="N501">
        <f t="shared" si="9"/>
        <v>1711</v>
      </c>
      <c r="P5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Row],[orderNum]],ТабПозиции[orderSumm])&gt;1500),ABS(N501*VLOOKUP(ТабПозиции[[#This Row],[orderNum]],ТабЗаказы[#Data],MATCH("Percent",ТабЗаказы[#Headers],0),0))/100,200/COUNTIF(ТабПозиции[orderNum],ТабПозиции[[#This Row],[orderNum]])),0),"")</f>
        <v>171</v>
      </c>
      <c r="Q501">
        <f>IF(OR(ТабПозиции[[#This Row],[item]]="По штрихкоду",ТабПозиции[[#This Row],[item]]="Посылка"),ТабПозиции[[#This Row],[deliverySumm]]+ТабПозиции[[#This Row],[deliveryPost]],SUM(N501:P501))</f>
        <v>1882</v>
      </c>
      <c r="R501" s="41">
        <v>1882</v>
      </c>
      <c r="S501" s="46">
        <f>ТабПозиции[[#This Row],[totalSumm]]-ТабПозиции[[#This Row],[payment]]</f>
        <v>0</v>
      </c>
      <c r="T501" s="18" t="s">
        <v>960</v>
      </c>
      <c r="U501" s="40" t="s">
        <v>545</v>
      </c>
      <c r="V501" s="40" t="s">
        <v>545</v>
      </c>
      <c r="W501" s="40" t="s">
        <v>545</v>
      </c>
      <c r="X501" s="3"/>
      <c r="Y501"/>
    </row>
    <row r="502" spans="1:25" hidden="1" x14ac:dyDescent="0.25">
      <c r="A502" s="10">
        <v>128</v>
      </c>
      <c r="B502" s="1">
        <f>IFERROR(VLOOKUP(ТабПозиции[[#This Row],[orderNum]],ТабЗаказы[#Data],MATCH(B$7,ТабЗаказы[#Headers],0),0),"")</f>
        <v>45454</v>
      </c>
      <c r="C502" t="str">
        <f>MONTH(ТабПозиции[[#This Row],[date]])&amp;"/"&amp;YEAR(ТабПозиции[[#This Row],[date]])</f>
        <v>6/2024</v>
      </c>
      <c r="D502" s="1" t="str">
        <f>IFERROR(VLOOKUP(ТабПозиции[[#This Row],[orderNum]],ТабЗаказы[#Data],MATCH(D$7,ТабЗаказы[#Headers],0),0),"")</f>
        <v/>
      </c>
      <c r="E502" s="1" t="str">
        <f>IFERROR(VLOOKUP(ТабПозиции[[#This Row],[orderNum]],ТабЗаказы[#Data],MATCH(E$7,ТабЗаказы[#Headers],0),0),"")</f>
        <v/>
      </c>
      <c r="F502" s="16" t="s">
        <v>1013</v>
      </c>
      <c r="G502" s="40" t="s">
        <v>545</v>
      </c>
      <c r="I502" s="18">
        <v>45458</v>
      </c>
      <c r="J502" s="10">
        <v>1</v>
      </c>
      <c r="K502" s="10">
        <v>471</v>
      </c>
      <c r="L502">
        <v>471</v>
      </c>
      <c r="M502" s="10">
        <v>508</v>
      </c>
      <c r="N502">
        <f t="shared" si="9"/>
        <v>508</v>
      </c>
      <c r="P5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Row],[orderNum]],ТабПозиции[orderSumm])&gt;1500),ABS(N502*VLOOKUP(ТабПозиции[[#This Row],[orderNum]],ТабЗаказы[#Data],MATCH("Percent",ТабЗаказы[#Headers],0),0))/100,200/COUNTIF(ТабПозиции[orderNum],ТабПозиции[[#This Row],[orderNum]])),0),"")</f>
        <v>51</v>
      </c>
      <c r="Q502">
        <f>IF(OR(ТабПозиции[[#This Row],[item]]="По штрихкоду",ТабПозиции[[#This Row],[item]]="Посылка"),ТабПозиции[[#This Row],[deliverySumm]]+ТабПозиции[[#This Row],[deliveryPost]],SUM(N502:P502))</f>
        <v>559</v>
      </c>
      <c r="R502" s="41">
        <v>559</v>
      </c>
      <c r="S502" s="46">
        <f>ТабПозиции[[#This Row],[totalSumm]]-ТабПозиции[[#This Row],[payment]]</f>
        <v>0</v>
      </c>
      <c r="T502" s="18" t="s">
        <v>960</v>
      </c>
      <c r="U502" s="40" t="s">
        <v>545</v>
      </c>
      <c r="V502" s="40" t="s">
        <v>545</v>
      </c>
      <c r="W502" s="40" t="s">
        <v>545</v>
      </c>
      <c r="X502" s="3"/>
      <c r="Y502"/>
    </row>
    <row r="503" spans="1:25" hidden="1" x14ac:dyDescent="0.25">
      <c r="A503" s="10">
        <v>128</v>
      </c>
      <c r="B503" s="1">
        <f>IFERROR(VLOOKUP(ТабПозиции[[#This Row],[orderNum]],ТабЗаказы[#Data],MATCH(B$7,ТабЗаказы[#Headers],0),0),"")</f>
        <v>45454</v>
      </c>
      <c r="C503" t="str">
        <f>MONTH(ТабПозиции[[#This Row],[date]])&amp;"/"&amp;YEAR(ТабПозиции[[#This Row],[date]])</f>
        <v>6/2024</v>
      </c>
      <c r="D503" s="1" t="str">
        <f>IFERROR(VLOOKUP(ТабПозиции[[#This Row],[orderNum]],ТабЗаказы[#Data],MATCH(D$7,ТабЗаказы[#Headers],0),0),"")</f>
        <v/>
      </c>
      <c r="E503" s="1" t="str">
        <f>IFERROR(VLOOKUP(ТабПозиции[[#This Row],[orderNum]],ТабЗаказы[#Data],MATCH(E$7,ТабЗаказы[#Headers],0),0),"")</f>
        <v/>
      </c>
      <c r="F503" s="19" t="s">
        <v>1014</v>
      </c>
      <c r="G503" s="40" t="s">
        <v>545</v>
      </c>
      <c r="I503" s="18">
        <v>45456</v>
      </c>
      <c r="J503" s="10">
        <v>1</v>
      </c>
      <c r="K503" s="10">
        <v>1849</v>
      </c>
      <c r="L503">
        <v>1849</v>
      </c>
      <c r="M503" s="10">
        <v>1991</v>
      </c>
      <c r="N503">
        <f t="shared" si="9"/>
        <v>1991</v>
      </c>
      <c r="P5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Row],[orderNum]],ТабПозиции[orderSumm])&gt;1500),ABS(N503*VLOOKUP(ТабПозиции[[#This Row],[orderNum]],ТабЗаказы[#Data],MATCH("Percent",ТабЗаказы[#Headers],0),0))/100,200/COUNTIF(ТабПозиции[orderNum],ТабПозиции[[#This Row],[orderNum]])),0),"")</f>
        <v>199</v>
      </c>
      <c r="Q503">
        <f>IF(OR(ТабПозиции[[#This Row],[item]]="По штрихкоду",ТабПозиции[[#This Row],[item]]="Посылка"),ТабПозиции[[#This Row],[deliverySumm]]+ТабПозиции[[#This Row],[deliveryPost]],SUM(N503:P503))</f>
        <v>2190</v>
      </c>
      <c r="R503" s="41">
        <v>2190</v>
      </c>
      <c r="S503" s="46">
        <f>ТабПозиции[[#This Row],[totalSumm]]-ТабПозиции[[#This Row],[payment]]</f>
        <v>0</v>
      </c>
      <c r="T503" s="18" t="s">
        <v>960</v>
      </c>
      <c r="U503" s="40" t="s">
        <v>545</v>
      </c>
      <c r="V503" s="40" t="s">
        <v>545</v>
      </c>
      <c r="W503" s="40" t="s">
        <v>545</v>
      </c>
      <c r="X503" s="3"/>
      <c r="Y503"/>
    </row>
    <row r="504" spans="1:25" hidden="1" x14ac:dyDescent="0.25">
      <c r="A504" s="10">
        <v>129</v>
      </c>
      <c r="B504" s="1">
        <f>IFERROR(VLOOKUP(ТабПозиции[[#This Row],[orderNum]],ТабЗаказы[#Data],MATCH(B$7,ТабЗаказы[#Headers],0),0),"")</f>
        <v>45456</v>
      </c>
      <c r="C504" t="str">
        <f>MONTH(ТабПозиции[[#This Row],[date]])&amp;"/"&amp;YEAR(ТабПозиции[[#This Row],[date]])</f>
        <v>6/2024</v>
      </c>
      <c r="D504" s="1" t="str">
        <f>IFERROR(VLOOKUP(ТабПозиции[[#This Row],[orderNum]],ТабЗаказы[#Data],MATCH(D$7,ТабЗаказы[#Headers],0),0),"")</f>
        <v/>
      </c>
      <c r="E504" s="1" t="str">
        <f>IFERROR(VLOOKUP(ТабПозиции[[#This Row],[orderNum]],ТабЗаказы[#Data],MATCH(E$7,ТабЗаказы[#Headers],0),0),"")</f>
        <v/>
      </c>
      <c r="F504" s="10" t="s">
        <v>820</v>
      </c>
      <c r="G504" s="40" t="s">
        <v>545</v>
      </c>
      <c r="H504" s="12" t="s">
        <v>1015</v>
      </c>
      <c r="I504" s="18">
        <v>45459</v>
      </c>
      <c r="J504" s="10">
        <v>1</v>
      </c>
      <c r="K504" s="10">
        <v>4200</v>
      </c>
      <c r="L504">
        <v>4200</v>
      </c>
      <c r="M504" s="10">
        <v>4200</v>
      </c>
      <c r="N504">
        <f t="shared" si="9"/>
        <v>4200</v>
      </c>
      <c r="P5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Row],[orderNum]],ТабПозиции[orderSumm])&gt;1500),ABS(N504*VLOOKUP(ТабПозиции[[#This Row],[orderNum]],ТабЗаказы[#Data],MATCH("Percent",ТабЗаказы[#Headers],0),0))/100,200/COUNTIF(ТабПозиции[orderNum],ТабПозиции[[#This Row],[orderNum]])),0),"")</f>
        <v>420</v>
      </c>
      <c r="Q504">
        <f>IF(OR(ТабПозиции[[#This Row],[item]]="По штрихкоду",ТабПозиции[[#This Row],[item]]="Посылка"),ТабПозиции[[#This Row],[deliverySumm]]+ТабПозиции[[#This Row],[deliveryPost]],SUM(N504:P504))</f>
        <v>420</v>
      </c>
      <c r="R504" s="41">
        <v>420</v>
      </c>
      <c r="S504" s="46">
        <f>ТабПозиции[[#This Row],[totalSumm]]-ТабПозиции[[#This Row],[payment]]</f>
        <v>0</v>
      </c>
      <c r="T504" s="18" t="s">
        <v>1016</v>
      </c>
      <c r="U504" s="40" t="s">
        <v>545</v>
      </c>
      <c r="V504" s="40" t="s">
        <v>545</v>
      </c>
      <c r="W504" s="40" t="s">
        <v>545</v>
      </c>
      <c r="X504" s="3"/>
      <c r="Y504"/>
    </row>
    <row r="505" spans="1:25" hidden="1" x14ac:dyDescent="0.25">
      <c r="A505" s="10">
        <v>129</v>
      </c>
      <c r="B505" s="1">
        <f>IFERROR(VLOOKUP(ТабПозиции[[#This Row],[orderNum]],ТабЗаказы[#Data],MATCH(B$7,ТабЗаказы[#Headers],0),0),"")</f>
        <v>45456</v>
      </c>
      <c r="C505" t="str">
        <f>MONTH(ТабПозиции[[#This Row],[date]])&amp;"/"&amp;YEAR(ТабПозиции[[#This Row],[date]])</f>
        <v>6/2024</v>
      </c>
      <c r="D505" s="1" t="str">
        <f>IFERROR(VLOOKUP(ТабПозиции[[#This Row],[orderNum]],ТабЗаказы[#Data],MATCH(D$7,ТабЗаказы[#Headers],0),0),"")</f>
        <v/>
      </c>
      <c r="E505" s="1" t="str">
        <f>IFERROR(VLOOKUP(ТабПозиции[[#This Row],[orderNum]],ТабЗаказы[#Data],MATCH(E$7,ТабЗаказы[#Headers],0),0),"")</f>
        <v/>
      </c>
      <c r="F505" s="10" t="s">
        <v>820</v>
      </c>
      <c r="G505" s="40" t="s">
        <v>545</v>
      </c>
      <c r="H505" s="12" t="s">
        <v>1017</v>
      </c>
      <c r="I505" s="18">
        <v>45457</v>
      </c>
      <c r="J505" s="10">
        <v>1</v>
      </c>
      <c r="K505" s="10">
        <v>8500</v>
      </c>
      <c r="L505">
        <v>8500</v>
      </c>
      <c r="M505" s="10">
        <v>8500</v>
      </c>
      <c r="N505">
        <f t="shared" si="9"/>
        <v>8500</v>
      </c>
      <c r="P5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Row],[orderNum]],ТабПозиции[orderSumm])&gt;1500),ABS(N505*VLOOKUP(ТабПозиции[[#This Row],[orderNum]],ТабЗаказы[#Data],MATCH("Percent",ТабЗаказы[#Headers],0),0))/100,200/COUNTIF(ТабПозиции[orderNum],ТабПозиции[[#This Row],[orderNum]])),0),"")</f>
        <v>850</v>
      </c>
      <c r="Q505">
        <f>IF(OR(ТабПозиции[[#This Row],[item]]="По штрихкоду",ТабПозиции[[#This Row],[item]]="Посылка"),ТабПозиции[[#This Row],[deliverySumm]]+ТабПозиции[[#This Row],[deliveryPost]],SUM(N505:P505))</f>
        <v>850</v>
      </c>
      <c r="R505" s="41">
        <v>850</v>
      </c>
      <c r="S505" s="46">
        <f>ТабПозиции[[#This Row],[totalSumm]]-ТабПозиции[[#This Row],[payment]]</f>
        <v>0</v>
      </c>
      <c r="T505" s="18" t="s">
        <v>676</v>
      </c>
      <c r="U505" s="40" t="s">
        <v>545</v>
      </c>
      <c r="V505" s="40" t="s">
        <v>545</v>
      </c>
      <c r="W505" s="40" t="s">
        <v>545</v>
      </c>
      <c r="X505" s="3"/>
      <c r="Y505"/>
    </row>
    <row r="506" spans="1:25" hidden="1" x14ac:dyDescent="0.25">
      <c r="A506" s="10">
        <v>129</v>
      </c>
      <c r="B506" s="1">
        <f>IFERROR(VLOOKUP(ТабПозиции[[#This Row],[orderNum]],ТабЗаказы[#Data],MATCH(B$7,ТабЗаказы[#Headers],0),0),"")</f>
        <v>45456</v>
      </c>
      <c r="C506" t="str">
        <f>MONTH(ТабПозиции[[#This Row],[date]])&amp;"/"&amp;YEAR(ТабПозиции[[#This Row],[date]])</f>
        <v>6/2024</v>
      </c>
      <c r="D506" s="1" t="str">
        <f>IFERROR(VLOOKUP(ТабПозиции[[#This Row],[orderNum]],ТабЗаказы[#Data],MATCH(D$7,ТабЗаказы[#Headers],0),0),"")</f>
        <v/>
      </c>
      <c r="E506" s="1" t="str">
        <f>IFERROR(VLOOKUP(ТабПозиции[[#This Row],[orderNum]],ТабЗаказы[#Data],MATCH(E$7,ТабЗаказы[#Headers],0),0),"")</f>
        <v/>
      </c>
      <c r="F506" s="10" t="s">
        <v>820</v>
      </c>
      <c r="G506" s="40" t="s">
        <v>545</v>
      </c>
      <c r="H506" s="12" t="s">
        <v>1018</v>
      </c>
      <c r="I506" s="18">
        <v>45457</v>
      </c>
      <c r="J506" s="10">
        <v>1</v>
      </c>
      <c r="K506" s="10">
        <v>4490</v>
      </c>
      <c r="L506">
        <v>4490</v>
      </c>
      <c r="M506" s="10">
        <v>4490</v>
      </c>
      <c r="N506">
        <f t="shared" si="9"/>
        <v>4490</v>
      </c>
      <c r="P5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Row],[orderNum]],ТабПозиции[orderSumm])&gt;1500),ABS(N506*VLOOKUP(ТабПозиции[[#This Row],[orderNum]],ТабЗаказы[#Data],MATCH("Percent",ТабЗаказы[#Headers],0),0))/100,200/COUNTIF(ТабПозиции[orderNum],ТабПозиции[[#This Row],[orderNum]])),0),"")</f>
        <v>449</v>
      </c>
      <c r="Q506">
        <f>IF(OR(ТабПозиции[[#This Row],[item]]="По штрихкоду",ТабПозиции[[#This Row],[item]]="Посылка"),ТабПозиции[[#This Row],[deliverySumm]]+ТабПозиции[[#This Row],[deliveryPost]],SUM(N506:P506))</f>
        <v>449</v>
      </c>
      <c r="R506" s="41">
        <v>449</v>
      </c>
      <c r="S506" s="46">
        <f>ТабПозиции[[#This Row],[totalSumm]]-ТабПозиции[[#This Row],[payment]]</f>
        <v>0</v>
      </c>
      <c r="T506" s="18" t="s">
        <v>676</v>
      </c>
      <c r="U506" s="40" t="s">
        <v>545</v>
      </c>
      <c r="V506" s="40" t="s">
        <v>545</v>
      </c>
      <c r="W506" s="40" t="s">
        <v>545</v>
      </c>
      <c r="X506" s="3"/>
      <c r="Y506"/>
    </row>
    <row r="507" spans="1:25" hidden="1" x14ac:dyDescent="0.25">
      <c r="A507" s="10">
        <v>130</v>
      </c>
      <c r="B507" s="1">
        <f>IFERROR(VLOOKUP(ТабПозиции[[#This Row],[orderNum]],ТабЗаказы[#Data],MATCH(B$7,ТабЗаказы[#Headers],0),0),"")</f>
        <v>45456</v>
      </c>
      <c r="C507" t="str">
        <f>MONTH(ТабПозиции[[#This Row],[date]])&amp;"/"&amp;YEAR(ТабПозиции[[#This Row],[date]])</f>
        <v>6/2024</v>
      </c>
      <c r="D507" s="1" t="str">
        <f>IFERROR(VLOOKUP(ТабПозиции[[#This Row],[orderNum]],ТабЗаказы[#Data],MATCH(D$7,ТабЗаказы[#Headers],0),0),"")</f>
        <v/>
      </c>
      <c r="E507" s="1" t="str">
        <f>IFERROR(VLOOKUP(ТабПозиции[[#This Row],[orderNum]],ТабЗаказы[#Data],MATCH(E$7,ТабЗаказы[#Headers],0),0),"")</f>
        <v/>
      </c>
      <c r="F507" s="10" t="s">
        <v>820</v>
      </c>
      <c r="G507" s="40" t="s">
        <v>545</v>
      </c>
      <c r="H507" s="12" t="s">
        <v>1019</v>
      </c>
      <c r="I507" s="18">
        <v>45457</v>
      </c>
      <c r="J507" s="10">
        <v>1</v>
      </c>
      <c r="K507" s="10">
        <v>3000</v>
      </c>
      <c r="L507">
        <v>3000</v>
      </c>
      <c r="M507" s="10">
        <v>3000</v>
      </c>
      <c r="N507">
        <f t="shared" si="9"/>
        <v>3000</v>
      </c>
      <c r="O507" s="10">
        <v>402.06</v>
      </c>
      <c r="P5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Row],[orderNum]],ТабПозиции[orderSumm])&gt;1500),ABS(N507*VLOOKUP(ТабПозиции[[#This Row],[orderNum]],ТабЗаказы[#Data],MATCH("Percent",ТабЗаказы[#Headers],0),0))/100,200/COUNTIF(ТабПозиции[orderNum],ТабПозиции[[#This Row],[orderNum]])),0),"")</f>
        <v>450</v>
      </c>
      <c r="Q507">
        <f>IF(OR(ТабПозиции[[#This Row],[item]]="По штрихкоду",ТабПозиции[[#This Row],[item]]="Посылка"),ТабПозиции[[#This Row],[deliverySumm]]+ТабПозиции[[#This Row],[deliveryPost]],SUM(N507:P507))</f>
        <v>852.06</v>
      </c>
      <c r="R507" s="41">
        <v>852.06</v>
      </c>
      <c r="S507" s="46">
        <f>ТабПозиции[[#This Row],[totalSumm]]-ТабПозиции[[#This Row],[payment]]</f>
        <v>0</v>
      </c>
      <c r="T507" s="18" t="s">
        <v>615</v>
      </c>
      <c r="U507" s="40" t="s">
        <v>545</v>
      </c>
      <c r="V507" s="40" t="s">
        <v>545</v>
      </c>
      <c r="W507" s="40" t="s">
        <v>545</v>
      </c>
      <c r="X507" s="3"/>
      <c r="Y507"/>
    </row>
    <row r="508" spans="1:25" hidden="1" x14ac:dyDescent="0.25">
      <c r="A508" s="10">
        <v>131</v>
      </c>
      <c r="B508" s="1">
        <f>IFERROR(VLOOKUP(ТабПозиции[[#This Row],[orderNum]],ТабЗаказы[#Data],MATCH(B$7,ТабЗаказы[#Headers],0),0),"")</f>
        <v>45456</v>
      </c>
      <c r="C508" t="str">
        <f>MONTH(ТабПозиции[[#This Row],[date]])&amp;"/"&amp;YEAR(ТабПозиции[[#This Row],[date]])</f>
        <v>6/2024</v>
      </c>
      <c r="D508" s="1" t="str">
        <f>IFERROR(VLOOKUP(ТабПозиции[[#This Row],[orderNum]],ТабЗаказы[#Data],MATCH(D$7,ТабЗаказы[#Headers],0),0),"")</f>
        <v/>
      </c>
      <c r="E508" s="1" t="str">
        <f>IFERROR(VLOOKUP(ТабПозиции[[#This Row],[orderNum]],ТабЗаказы[#Data],MATCH(E$7,ТабЗаказы[#Headers],0),0),"")</f>
        <v/>
      </c>
      <c r="F508" s="10" t="s">
        <v>820</v>
      </c>
      <c r="G508" s="40" t="s">
        <v>545</v>
      </c>
      <c r="H508" s="12" t="s">
        <v>1020</v>
      </c>
      <c r="I508" s="18">
        <v>45457</v>
      </c>
      <c r="J508" s="10">
        <v>1</v>
      </c>
      <c r="K508" s="10">
        <v>4500</v>
      </c>
      <c r="L508">
        <v>4500</v>
      </c>
      <c r="M508" s="10">
        <v>4500</v>
      </c>
      <c r="N508">
        <f t="shared" si="9"/>
        <v>4500</v>
      </c>
      <c r="O508" s="10">
        <v>671</v>
      </c>
      <c r="P5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Row],[orderNum]],ТабПозиции[orderSumm])&gt;1500),ABS(N508*VLOOKUP(ТабПозиции[[#This Row],[orderNum]],ТабЗаказы[#Data],MATCH("Percent",ТабЗаказы[#Headers],0),0))/100,200/COUNTIF(ТабПозиции[orderNum],ТабПозиции[[#This Row],[orderNum]])),0),"")</f>
        <v>675</v>
      </c>
      <c r="Q508">
        <f>IF(OR(ТабПозиции[[#This Row],[item]]="По штрихкоду",ТабПозиции[[#This Row],[item]]="Посылка"),ТабПозиции[[#This Row],[deliverySumm]]+ТабПозиции[[#This Row],[deliveryPost]],SUM(N508:P508))</f>
        <v>1346</v>
      </c>
      <c r="R508" s="41">
        <v>1346</v>
      </c>
      <c r="S508" s="46">
        <f>ТабПозиции[[#This Row],[totalSumm]]-ТабПозиции[[#This Row],[payment]]</f>
        <v>0</v>
      </c>
      <c r="T508" s="18" t="s">
        <v>1021</v>
      </c>
      <c r="U508" s="40" t="s">
        <v>545</v>
      </c>
      <c r="V508" s="40" t="s">
        <v>545</v>
      </c>
      <c r="W508" s="40" t="s">
        <v>545</v>
      </c>
      <c r="X508" s="3"/>
      <c r="Y508"/>
    </row>
    <row r="509" spans="1:25" hidden="1" x14ac:dyDescent="0.25">
      <c r="A509" s="10">
        <v>132</v>
      </c>
      <c r="B509" s="1">
        <f>IFERROR(VLOOKUP(ТабПозиции[[#This Row],[orderNum]],ТабЗаказы[#Data],MATCH(B$7,ТабЗаказы[#Headers],0),0),"")</f>
        <v>45456</v>
      </c>
      <c r="C509" t="str">
        <f>MONTH(ТабПозиции[[#This Row],[date]])&amp;"/"&amp;YEAR(ТабПозиции[[#This Row],[date]])</f>
        <v>6/2024</v>
      </c>
      <c r="D509" s="1" t="str">
        <f>IFERROR(VLOOKUP(ТабПозиции[[#This Row],[orderNum]],ТабЗаказы[#Data],MATCH(D$7,ТабЗаказы[#Headers],0),0),"")</f>
        <v/>
      </c>
      <c r="E509" s="1" t="str">
        <f>IFERROR(VLOOKUP(ТабПозиции[[#This Row],[orderNum]],ТабЗаказы[#Data],MATCH(E$7,ТабЗаказы[#Headers],0),0),"")</f>
        <v/>
      </c>
      <c r="F509" s="10" t="s">
        <v>32</v>
      </c>
      <c r="G509" s="40" t="s">
        <v>545</v>
      </c>
      <c r="I509" s="18">
        <v>45457</v>
      </c>
      <c r="J509" s="10">
        <v>1</v>
      </c>
      <c r="K509" s="10">
        <f>2500+1159</f>
        <v>3659</v>
      </c>
      <c r="L509">
        <v>3659</v>
      </c>
      <c r="M509" s="10">
        <v>3659</v>
      </c>
      <c r="N509">
        <f t="shared" si="9"/>
        <v>3659</v>
      </c>
      <c r="P5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Row],[orderNum]],ТабПозиции[orderSumm])&gt;1500),ABS(N509*VLOOKUP(ТабПозиции[[#This Row],[orderNum]],ТабЗаказы[#Data],MATCH("Percent",ТабЗаказы[#Headers],0),0))/100,200/COUNTIF(ТабПозиции[orderNum],ТабПозиции[[#This Row],[orderNum]])),0),"")</f>
        <v>366</v>
      </c>
      <c r="Q509">
        <f>IF(OR(ТабПозиции[[#This Row],[item]]="По штрихкоду",ТабПозиции[[#This Row],[item]]="Посылка"),ТабПозиции[[#This Row],[deliverySumm]]+ТабПозиции[[#This Row],[deliveryPost]],SUM(N509:P509))</f>
        <v>366</v>
      </c>
      <c r="R509" s="41">
        <v>366</v>
      </c>
      <c r="S509" s="46">
        <f>ТабПозиции[[#This Row],[totalSumm]]-ТабПозиции[[#This Row],[payment]]</f>
        <v>0</v>
      </c>
      <c r="T509" s="18" t="s">
        <v>580</v>
      </c>
      <c r="U509" s="40" t="s">
        <v>545</v>
      </c>
      <c r="V509" s="40" t="s">
        <v>545</v>
      </c>
      <c r="W509" s="40" t="s">
        <v>545</v>
      </c>
      <c r="X509" s="3"/>
      <c r="Y509"/>
    </row>
    <row r="510" spans="1:25" hidden="1" x14ac:dyDescent="0.25">
      <c r="A510" s="10">
        <v>133</v>
      </c>
      <c r="B510" s="1">
        <f>IFERROR(VLOOKUP(ТабПозиции[[#This Row],[orderNum]],ТабЗаказы[#Data],MATCH(B$7,ТабЗаказы[#Headers],0),0),"")</f>
        <v>45457</v>
      </c>
      <c r="C510" t="str">
        <f>MONTH(ТабПозиции[[#This Row],[date]])&amp;"/"&amp;YEAR(ТабПозиции[[#This Row],[date]])</f>
        <v>6/2024</v>
      </c>
      <c r="D510" s="1" t="str">
        <f>IFERROR(VLOOKUP(ТабПозиции[[#This Row],[orderNum]],ТабЗаказы[#Data],MATCH(D$7,ТабЗаказы[#Headers],0),0),"")</f>
        <v/>
      </c>
      <c r="E510" s="1" t="str">
        <f>IFERROR(VLOOKUP(ТабПозиции[[#This Row],[orderNum]],ТабЗаказы[#Data],MATCH(E$7,ТабЗаказы[#Headers],0),0),"")</f>
        <v/>
      </c>
      <c r="F510" s="10" t="s">
        <v>32</v>
      </c>
      <c r="G510" s="40" t="s">
        <v>545</v>
      </c>
      <c r="I510" s="18">
        <v>45457</v>
      </c>
      <c r="J510" s="10">
        <v>1</v>
      </c>
      <c r="K510" s="10">
        <f>1617+3202</f>
        <v>4819</v>
      </c>
      <c r="L510">
        <v>4819</v>
      </c>
      <c r="M510" s="10">
        <f>1617+3202</f>
        <v>4819</v>
      </c>
      <c r="N510">
        <f t="shared" si="9"/>
        <v>4819</v>
      </c>
      <c r="P5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Row],[orderNum]],ТабПозиции[orderSumm])&gt;1500),ABS(N510*VLOOKUP(ТабПозиции[[#This Row],[orderNum]],ТабЗаказы[#Data],MATCH("Percent",ТабЗаказы[#Headers],0),0))/100,200/COUNTIF(ТабПозиции[orderNum],ТабПозиции[[#This Row],[orderNum]])),0),"")</f>
        <v>482</v>
      </c>
      <c r="Q510">
        <f>IF(OR(ТабПозиции[[#This Row],[item]]="По штрихкоду",ТабПозиции[[#This Row],[item]]="Посылка"),ТабПозиции[[#This Row],[deliverySumm]]+ТабПозиции[[#This Row],[deliveryPost]],SUM(N510:P510))</f>
        <v>482</v>
      </c>
      <c r="R510" s="41">
        <v>482</v>
      </c>
      <c r="S510" s="46">
        <f>ТабПозиции[[#This Row],[totalSumm]]-ТабПозиции[[#This Row],[payment]]</f>
        <v>0</v>
      </c>
      <c r="T510" s="18" t="s">
        <v>580</v>
      </c>
      <c r="U510" s="40" t="s">
        <v>545</v>
      </c>
      <c r="V510" s="40" t="s">
        <v>545</v>
      </c>
      <c r="W510" s="40" t="s">
        <v>545</v>
      </c>
      <c r="X510" s="3"/>
      <c r="Y510"/>
    </row>
    <row r="511" spans="1:25" hidden="1" x14ac:dyDescent="0.25">
      <c r="A511" s="10">
        <v>134</v>
      </c>
      <c r="B511" s="1">
        <f>IFERROR(VLOOKUP(ТабПозиции[[#This Row],[orderNum]],ТабЗаказы[#Data],MATCH(B$7,ТабЗаказы[#Headers],0),0),"")</f>
        <v>45455</v>
      </c>
      <c r="C511" t="str">
        <f>MONTH(ТабПозиции[[#This Row],[date]])&amp;"/"&amp;YEAR(ТабПозиции[[#This Row],[date]])</f>
        <v>6/2024</v>
      </c>
      <c r="D511" s="1" t="str">
        <f>IFERROR(VLOOKUP(ТабПозиции[[#This Row],[orderNum]],ТабЗаказы[#Data],MATCH(D$7,ТабЗаказы[#Headers],0),0),"")</f>
        <v/>
      </c>
      <c r="E511" s="1" t="str">
        <f>IFERROR(VLOOKUP(ТабПозиции[[#This Row],[orderNum]],ТабЗаказы[#Data],MATCH(E$7,ТабЗаказы[#Headers],0),0),"")</f>
        <v/>
      </c>
      <c r="F511" s="16" t="s">
        <v>1022</v>
      </c>
      <c r="G511" s="40" t="s">
        <v>545</v>
      </c>
      <c r="I511" s="18">
        <v>45457</v>
      </c>
      <c r="J511" s="10">
        <v>1</v>
      </c>
      <c r="K511" s="10">
        <v>449</v>
      </c>
      <c r="L511">
        <v>449</v>
      </c>
      <c r="M511" s="10">
        <v>473</v>
      </c>
      <c r="N511">
        <f t="shared" si="9"/>
        <v>473</v>
      </c>
      <c r="P5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Row],[orderNum]],ТабПозиции[orderSumm])&gt;1500),ABS(N511*VLOOKUP(ТабПозиции[[#This Row],[orderNum]],ТабЗаказы[#Data],MATCH("Percent",ТабЗаказы[#Headers],0),0))/100,200/COUNTIF(ТабПозиции[orderNum],ТабПозиции[[#This Row],[orderNum]])),0),"")</f>
        <v>47</v>
      </c>
      <c r="Q511">
        <f>IF(OR(ТабПозиции[[#This Row],[item]]="По штрихкоду",ТабПозиции[[#This Row],[item]]="Посылка"),ТабПозиции[[#This Row],[deliverySumm]]+ТабПозиции[[#This Row],[deliveryPost]],SUM(N511:P511))</f>
        <v>520</v>
      </c>
      <c r="R511" s="41">
        <v>520</v>
      </c>
      <c r="S511" s="46">
        <f>ТабПозиции[[#This Row],[totalSumm]]-ТабПозиции[[#This Row],[payment]]</f>
        <v>0</v>
      </c>
      <c r="T511" s="18" t="s">
        <v>960</v>
      </c>
      <c r="U511" s="40" t="s">
        <v>545</v>
      </c>
      <c r="V511" s="40" t="s">
        <v>545</v>
      </c>
      <c r="W511" s="40" t="s">
        <v>545</v>
      </c>
      <c r="X511" s="3"/>
      <c r="Y511"/>
    </row>
    <row r="512" spans="1:25" hidden="1" x14ac:dyDescent="0.25">
      <c r="A512" s="10">
        <v>134</v>
      </c>
      <c r="B512" s="1">
        <f>IFERROR(VLOOKUP(ТабПозиции[[#This Row],[orderNum]],ТабЗаказы[#Data],MATCH(B$7,ТабЗаказы[#Headers],0),0),"")</f>
        <v>45455</v>
      </c>
      <c r="C512" t="str">
        <f>MONTH(ТабПозиции[[#This Row],[date]])&amp;"/"&amp;YEAR(ТабПозиции[[#This Row],[date]])</f>
        <v>6/2024</v>
      </c>
      <c r="D512" s="1" t="str">
        <f>IFERROR(VLOOKUP(ТабПозиции[[#This Row],[orderNum]],ТабЗаказы[#Data],MATCH(D$7,ТабЗаказы[#Headers],0),0),"")</f>
        <v/>
      </c>
      <c r="E512" s="1" t="str">
        <f>IFERROR(VLOOKUP(ТабПозиции[[#This Row],[orderNum]],ТабЗаказы[#Data],MATCH(E$7,ТабЗаказы[#Headers],0),0),"")</f>
        <v/>
      </c>
      <c r="F512" s="16" t="s">
        <v>1023</v>
      </c>
      <c r="G512" s="40" t="s">
        <v>545</v>
      </c>
      <c r="I512" s="18">
        <v>45457</v>
      </c>
      <c r="J512" s="10">
        <v>2</v>
      </c>
      <c r="K512" s="10">
        <v>305</v>
      </c>
      <c r="L512">
        <v>610</v>
      </c>
      <c r="M512" s="10">
        <v>322</v>
      </c>
      <c r="N512">
        <f t="shared" si="9"/>
        <v>644</v>
      </c>
      <c r="P5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Row],[orderNum]],ТабПозиции[orderSumm])&gt;1500),ABS(N512*VLOOKUP(ТабПозиции[[#This Row],[orderNum]],ТабЗаказы[#Data],MATCH("Percent",ТабЗаказы[#Headers],0),0))/100,200/COUNTIF(ТабПозиции[orderNum],ТабПозиции[[#This Row],[orderNum]])),0),"")</f>
        <v>64</v>
      </c>
      <c r="Q512">
        <f>IF(OR(ТабПозиции[[#This Row],[item]]="По штрихкоду",ТабПозиции[[#This Row],[item]]="Посылка"),ТабПозиции[[#This Row],[deliverySumm]]+ТабПозиции[[#This Row],[deliveryPost]],SUM(N512:P512))</f>
        <v>708</v>
      </c>
      <c r="R512" s="41">
        <v>708</v>
      </c>
      <c r="S512" s="46">
        <f>ТабПозиции[[#This Row],[totalSumm]]-ТабПозиции[[#This Row],[payment]]</f>
        <v>0</v>
      </c>
      <c r="T512" s="18" t="s">
        <v>970</v>
      </c>
      <c r="U512" s="40" t="s">
        <v>545</v>
      </c>
      <c r="V512" s="40" t="s">
        <v>545</v>
      </c>
      <c r="W512" s="40" t="s">
        <v>545</v>
      </c>
      <c r="X512" s="3"/>
      <c r="Y512"/>
    </row>
    <row r="513" spans="1:25" hidden="1" x14ac:dyDescent="0.25">
      <c r="A513" s="10">
        <v>134</v>
      </c>
      <c r="B513" s="1">
        <f>IFERROR(VLOOKUP(ТабПозиции[[#This Row],[orderNum]],ТабЗаказы[#Data],MATCH(B$7,ТабЗаказы[#Headers],0),0),"")</f>
        <v>45455</v>
      </c>
      <c r="C513" t="str">
        <f>MONTH(ТабПозиции[[#This Row],[date]])&amp;"/"&amp;YEAR(ТабПозиции[[#This Row],[date]])</f>
        <v>6/2024</v>
      </c>
      <c r="D513" s="1" t="str">
        <f>IFERROR(VLOOKUP(ТабПозиции[[#This Row],[orderNum]],ТабЗаказы[#Data],MATCH(D$7,ТабЗаказы[#Headers],0),0),"")</f>
        <v/>
      </c>
      <c r="E513" s="1" t="str">
        <f>IFERROR(VLOOKUP(ТабПозиции[[#This Row],[orderNum]],ТабЗаказы[#Data],MATCH(E$7,ТабЗаказы[#Headers],0),0),"")</f>
        <v/>
      </c>
      <c r="F513" s="16" t="s">
        <v>1024</v>
      </c>
      <c r="G513" s="40" t="s">
        <v>545</v>
      </c>
      <c r="I513" s="18">
        <v>45457</v>
      </c>
      <c r="J513" s="10">
        <v>1</v>
      </c>
      <c r="K513" s="10">
        <v>946</v>
      </c>
      <c r="L513">
        <v>946</v>
      </c>
      <c r="M513" s="10">
        <v>996</v>
      </c>
      <c r="N513">
        <f t="shared" si="9"/>
        <v>996</v>
      </c>
      <c r="P5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Row],[orderNum]],ТабПозиции[orderSumm])&gt;1500),ABS(N513*VLOOKUP(ТабПозиции[[#This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513">
        <f>IF(OR(ТабПозиции[[#This Row],[item]]="По штрихкоду",ТабПозиции[[#This Row],[item]]="Посылка"),ТабПозиции[[#This Row],[deliverySumm]]+ТабПозиции[[#This Row],[deliveryPost]],SUM(N513:P513))</f>
        <v>1096</v>
      </c>
      <c r="R513" s="41">
        <v>1096</v>
      </c>
      <c r="S513" s="46">
        <f>ТабПозиции[[#This Row],[totalSumm]]-ТабПозиции[[#This Row],[payment]]</f>
        <v>0</v>
      </c>
      <c r="T513" s="18" t="s">
        <v>960</v>
      </c>
      <c r="U513" s="40" t="s">
        <v>545</v>
      </c>
      <c r="V513" s="40" t="s">
        <v>545</v>
      </c>
      <c r="W513" s="40" t="s">
        <v>545</v>
      </c>
      <c r="X513" s="3"/>
      <c r="Y513"/>
    </row>
    <row r="514" spans="1:25" hidden="1" x14ac:dyDescent="0.25">
      <c r="A514" s="10">
        <v>135</v>
      </c>
      <c r="B514" s="1">
        <f>IFERROR(VLOOKUP(ТабПозиции[[#This Row],[orderNum]],ТабЗаказы[#Data],MATCH(B$7,ТабЗаказы[#Headers],0),0),"")</f>
        <v>45457</v>
      </c>
      <c r="C514" t="str">
        <f>MONTH(ТабПозиции[[#This Row],[date]])&amp;"/"&amp;YEAR(ТабПозиции[[#This Row],[date]])</f>
        <v>6/2024</v>
      </c>
      <c r="D514" s="1" t="str">
        <f>IFERROR(VLOOKUP(ТабПозиции[[#This Row],[orderNum]],ТабЗаказы[#Data],MATCH(D$7,ТабЗаказы[#Headers],0),0),"")</f>
        <v/>
      </c>
      <c r="E514" s="1" t="str">
        <f>IFERROR(VLOOKUP(ТабПозиции[[#This Row],[orderNum]],ТабЗаказы[#Data],MATCH(E$7,ТабЗаказы[#Headers],0),0),"")</f>
        <v/>
      </c>
      <c r="F514" s="16" t="s">
        <v>1025</v>
      </c>
      <c r="G514" s="40" t="s">
        <v>545</v>
      </c>
      <c r="I514" s="18">
        <v>45471</v>
      </c>
      <c r="J514" s="23"/>
      <c r="K514" s="10">
        <v>627</v>
      </c>
      <c r="L514">
        <v>0</v>
      </c>
      <c r="M514" s="10">
        <v>660</v>
      </c>
      <c r="N514">
        <f t="shared" si="9"/>
        <v>0</v>
      </c>
      <c r="P5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Row],[orderNum]],ТабПозиции[orderSumm])&gt;1500),ABS(N514*VLOOKUP(ТабПозиции[[#This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514">
        <f>IF(OR(ТабПозиции[[#This Row],[item]]="По штрихкоду",ТабПозиции[[#This Row],[item]]="Посылка"),ТабПозиции[[#This Row],[deliverySumm]]+ТабПозиции[[#This Row],[deliveryPost]],SUM(N514:P514))</f>
        <v>100</v>
      </c>
      <c r="R514" s="41">
        <v>100</v>
      </c>
      <c r="S514" s="46">
        <f>ТабПозиции[[#This Row],[totalSumm]]-ТабПозиции[[#This Row],[payment]]</f>
        <v>0</v>
      </c>
      <c r="T514" s="18" t="s">
        <v>970</v>
      </c>
      <c r="U514" s="40" t="s">
        <v>545</v>
      </c>
      <c r="V514" s="40" t="str">
        <f>IF(AND(ТабПозиции[[#This Row],[Остаток]]=0,ТабПозиции[[#This Row],[Заказан]]="Да"),"Да","Нет")</f>
        <v>Да</v>
      </c>
      <c r="W514" s="40" t="s">
        <v>545</v>
      </c>
      <c r="X514" s="3"/>
      <c r="Y514"/>
    </row>
    <row r="515" spans="1:25" hidden="1" x14ac:dyDescent="0.25">
      <c r="A515" s="10">
        <v>135</v>
      </c>
      <c r="B515" s="1">
        <f>IFERROR(VLOOKUP(ТабПозиции[[#This Row],[orderNum]],ТабЗаказы[#Data],MATCH(B$7,ТабЗаказы[#Headers],0),0),"")</f>
        <v>45457</v>
      </c>
      <c r="C515" t="str">
        <f>MONTH(ТабПозиции[[#This Row],[date]])&amp;"/"&amp;YEAR(ТабПозиции[[#This Row],[date]])</f>
        <v>6/2024</v>
      </c>
      <c r="D515" s="1" t="str">
        <f>IFERROR(VLOOKUP(ТабПозиции[[#This Row],[orderNum]],ТабЗаказы[#Data],MATCH(D$7,ТабЗаказы[#Headers],0),0),"")</f>
        <v/>
      </c>
      <c r="E515" s="1" t="str">
        <f>IFERROR(VLOOKUP(ТабПозиции[[#This Row],[orderNum]],ТабЗаказы[#Data],MATCH(E$7,ТабЗаказы[#Headers],0),0),"")</f>
        <v/>
      </c>
      <c r="F515" s="16" t="s">
        <v>1026</v>
      </c>
      <c r="G515" s="40" t="s">
        <v>545</v>
      </c>
      <c r="I515" s="18">
        <v>45459</v>
      </c>
      <c r="J515" s="10">
        <v>1</v>
      </c>
      <c r="K515" s="10">
        <v>673</v>
      </c>
      <c r="L515">
        <v>673</v>
      </c>
      <c r="M515" s="10">
        <v>709</v>
      </c>
      <c r="N515">
        <f t="shared" si="9"/>
        <v>709</v>
      </c>
      <c r="P5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Row],[orderNum]],ТабПозиции[orderSumm])&gt;1500),ABS(N515*VLOOKUP(ТабПозиции[[#This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515">
        <f>IF(OR(ТабПозиции[[#This Row],[item]]="По штрихкоду",ТабПозиции[[#This Row],[item]]="Посылка"),ТабПозиции[[#This Row],[deliverySumm]]+ТабПозиции[[#This Row],[deliveryPost]],SUM(N515:P515))</f>
        <v>809</v>
      </c>
      <c r="R515" s="41">
        <v>809</v>
      </c>
      <c r="S515" s="46">
        <f>ТабПозиции[[#This Row],[totalSumm]]-ТабПозиции[[#This Row],[payment]]</f>
        <v>0</v>
      </c>
      <c r="T515" s="18" t="s">
        <v>970</v>
      </c>
      <c r="U515" s="40" t="s">
        <v>545</v>
      </c>
      <c r="V515" s="40" t="s">
        <v>545</v>
      </c>
      <c r="W515" s="40" t="s">
        <v>545</v>
      </c>
      <c r="X515" s="3"/>
      <c r="Y515"/>
    </row>
    <row r="516" spans="1:25" hidden="1" x14ac:dyDescent="0.25">
      <c r="A516" s="10">
        <v>136</v>
      </c>
      <c r="B516" s="1">
        <f>IFERROR(VLOOKUP(ТабПозиции[[#This Row],[orderNum]],ТабЗаказы[#Data],MATCH(B$7,ТабЗаказы[#Headers],0),0),"")</f>
        <v>45458</v>
      </c>
      <c r="C516" t="str">
        <f>MONTH(ТабПозиции[[#This Row],[date]])&amp;"/"&amp;YEAR(ТабПозиции[[#This Row],[date]])</f>
        <v>6/2024</v>
      </c>
      <c r="D516" s="1" t="str">
        <f>IFERROR(VLOOKUP(ТабПозиции[[#This Row],[orderNum]],ТабЗаказы[#Data],MATCH(D$7,ТабЗаказы[#Headers],0),0),"")</f>
        <v/>
      </c>
      <c r="E516" s="1" t="str">
        <f>IFERROR(VLOOKUP(ТабПозиции[[#This Row],[orderNum]],ТабЗаказы[#Data],MATCH(E$7,ТабЗаказы[#Headers],0),0),"")</f>
        <v/>
      </c>
      <c r="F516" s="16" t="s">
        <v>766</v>
      </c>
      <c r="G516" s="40" t="s">
        <v>545</v>
      </c>
      <c r="I516" s="18">
        <v>45462</v>
      </c>
      <c r="J516" s="10">
        <v>1</v>
      </c>
      <c r="K516" s="10">
        <v>6094</v>
      </c>
      <c r="L516">
        <v>6094</v>
      </c>
      <c r="M516" s="10">
        <v>6415</v>
      </c>
      <c r="N516">
        <f t="shared" si="9"/>
        <v>6415</v>
      </c>
      <c r="P5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Row],[orderNum]],ТабПозиции[orderSumm])&gt;1500),ABS(N516*VLOOKUP(ТабПозиции[[#This Row],[orderNum]],ТабЗаказы[#Data],MATCH("Percent",ТабЗаказы[#Headers],0),0))/100,200/COUNTIF(ТабПозиции[orderNum],ТабПозиции[[#This Row],[orderNum]])),0),"")</f>
        <v>962</v>
      </c>
      <c r="Q516">
        <f>IF(OR(ТабПозиции[[#This Row],[item]]="По штрихкоду",ТабПозиции[[#This Row],[item]]="Посылка"),ТабПозиции[[#This Row],[deliverySumm]]+ТабПозиции[[#This Row],[deliveryPost]],SUM(N516:P516))</f>
        <v>7377</v>
      </c>
      <c r="R516" s="41">
        <v>7377</v>
      </c>
      <c r="S516" s="46">
        <f>ТабПозиции[[#This Row],[totalSumm]]-ТабПозиции[[#This Row],[payment]]</f>
        <v>0</v>
      </c>
      <c r="T516" s="18" t="s">
        <v>970</v>
      </c>
      <c r="U516" s="40" t="s">
        <v>545</v>
      </c>
      <c r="V516" s="40" t="s">
        <v>545</v>
      </c>
      <c r="W516" s="40" t="s">
        <v>545</v>
      </c>
      <c r="X516" s="3"/>
      <c r="Y516"/>
    </row>
    <row r="517" spans="1:25" hidden="1" x14ac:dyDescent="0.25">
      <c r="A517" s="10">
        <v>137</v>
      </c>
      <c r="B517" s="1">
        <f>IFERROR(VLOOKUP(ТабПозиции[[#This Row],[orderNum]],ТабЗаказы[#Data],MATCH(B$7,ТабЗаказы[#Headers],0),0),"")</f>
        <v>45461</v>
      </c>
      <c r="C517" t="str">
        <f>MONTH(ТабПозиции[[#This Row],[date]])&amp;"/"&amp;YEAR(ТабПозиции[[#This Row],[date]])</f>
        <v>6/2024</v>
      </c>
      <c r="D517" s="1" t="str">
        <f>IFERROR(VLOOKUP(ТабПозиции[[#This Row],[orderNum]],ТабЗаказы[#Data],MATCH(D$7,ТабЗаказы[#Headers],0),0),"")</f>
        <v/>
      </c>
      <c r="E517" s="1" t="str">
        <f>IFERROR(VLOOKUP(ТабПозиции[[#This Row],[orderNum]],ТабЗаказы[#Data],MATCH(E$7,ТабЗаказы[#Headers],0),0),"")</f>
        <v/>
      </c>
      <c r="F517" s="16" t="s">
        <v>1027</v>
      </c>
      <c r="G517" s="40" t="s">
        <v>545</v>
      </c>
      <c r="I517" s="18">
        <v>45464</v>
      </c>
      <c r="J517" s="10">
        <v>1</v>
      </c>
      <c r="K517" s="10">
        <v>757</v>
      </c>
      <c r="L517">
        <v>757</v>
      </c>
      <c r="M517" s="10">
        <v>797</v>
      </c>
      <c r="N517">
        <f t="shared" si="9"/>
        <v>797</v>
      </c>
      <c r="P5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Row],[orderNum]],ТабПозиции[orderSumm])&gt;1500),ABS(N517*VLOOKUP(ТабПозиции[[#This Row],[orderNum]],ТабЗаказы[#Data],MATCH("Percent",ТабЗаказы[#Headers],0),0))/100,200/COUNTIF(ТабПозиции[orderNum],ТабПозиции[[#This Row],[orderNum]])),0),"")</f>
        <v>120</v>
      </c>
      <c r="Q517">
        <f>IF(OR(ТабПозиции[[#This Row],[item]]="По штрихкоду",ТабПозиции[[#This Row],[item]]="Посылка"),ТабПозиции[[#This Row],[deliverySumm]]+ТабПозиции[[#This Row],[deliveryPost]],SUM(N517:P517))</f>
        <v>917</v>
      </c>
      <c r="R517" s="41">
        <v>917</v>
      </c>
      <c r="S517" s="46">
        <f>ТабПозиции[[#This Row],[totalSumm]]-ТабПозиции[[#This Row],[payment]]</f>
        <v>0</v>
      </c>
      <c r="T517" s="18" t="s">
        <v>970</v>
      </c>
      <c r="U517" s="40" t="s">
        <v>545</v>
      </c>
      <c r="V517" s="40" t="s">
        <v>545</v>
      </c>
      <c r="W517" s="40" t="s">
        <v>545</v>
      </c>
      <c r="X517" s="3"/>
      <c r="Y517"/>
    </row>
    <row r="518" spans="1:25" hidden="1" x14ac:dyDescent="0.25">
      <c r="A518" s="10">
        <v>137</v>
      </c>
      <c r="B518" s="1">
        <f>IFERROR(VLOOKUP(ТабПозиции[[#This Row],[orderNum]],ТабЗаказы[#Data],MATCH(B$7,ТабЗаказы[#Headers],0),0),"")</f>
        <v>45461</v>
      </c>
      <c r="C518" t="str">
        <f>MONTH(ТабПозиции[[#This Row],[date]])&amp;"/"&amp;YEAR(ТабПозиции[[#This Row],[date]])</f>
        <v>6/2024</v>
      </c>
      <c r="D518" s="1" t="str">
        <f>IFERROR(VLOOKUP(ТабПозиции[[#This Row],[orderNum]],ТабЗаказы[#Data],MATCH(D$7,ТабЗаказы[#Headers],0),0),"")</f>
        <v/>
      </c>
      <c r="E518" s="1" t="str">
        <f>IFERROR(VLOOKUP(ТабПозиции[[#This Row],[orderNum]],ТабЗаказы[#Data],MATCH(E$7,ТабЗаказы[#Headers],0),0),"")</f>
        <v/>
      </c>
      <c r="F518" s="16" t="s">
        <v>1028</v>
      </c>
      <c r="G518" s="40" t="s">
        <v>545</v>
      </c>
      <c r="I518" s="18">
        <v>45463</v>
      </c>
      <c r="J518" s="10">
        <v>1</v>
      </c>
      <c r="K518" s="10">
        <v>1716</v>
      </c>
      <c r="L518">
        <v>1716</v>
      </c>
      <c r="M518" s="10">
        <v>1807</v>
      </c>
      <c r="N518">
        <f t="shared" si="9"/>
        <v>1807</v>
      </c>
      <c r="P5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Row],[orderNum]],ТабПозиции[orderSumm])&gt;1500),ABS(N518*VLOOKUP(ТабПозиции[[#This Row],[orderNum]],ТабЗаказы[#Data],MATCH("Percent",ТабЗаказы[#Headers],0),0))/100,200/COUNTIF(ТабПозиции[orderNum],ТабПозиции[[#This Row],[orderNum]])),0),"")</f>
        <v>271</v>
      </c>
      <c r="Q518">
        <f>IF(OR(ТабПозиции[[#This Row],[item]]="По штрихкоду",ТабПозиции[[#This Row],[item]]="Посылка"),ТабПозиции[[#This Row],[deliverySumm]]+ТабПозиции[[#This Row],[deliveryPost]],SUM(N518:P518))</f>
        <v>2078</v>
      </c>
      <c r="R518" s="41">
        <v>2078</v>
      </c>
      <c r="S518" s="46">
        <f>ТабПозиции[[#This Row],[totalSumm]]-ТабПозиции[[#This Row],[payment]]</f>
        <v>0</v>
      </c>
      <c r="T518" s="18" t="s">
        <v>970</v>
      </c>
      <c r="U518" s="40" t="s">
        <v>545</v>
      </c>
      <c r="V518" s="40" t="s">
        <v>545</v>
      </c>
      <c r="W518" s="40" t="s">
        <v>545</v>
      </c>
      <c r="X518" s="3"/>
      <c r="Y518"/>
    </row>
    <row r="519" spans="1:25" hidden="1" x14ac:dyDescent="0.25">
      <c r="A519" s="10">
        <v>137</v>
      </c>
      <c r="B519" s="1">
        <f>IFERROR(VLOOKUP(ТабПозиции[[#This Row],[orderNum]],ТабЗаказы[#Data],MATCH(B$7,ТабЗаказы[#Headers],0),0),"")</f>
        <v>45461</v>
      </c>
      <c r="C519" t="str">
        <f>MONTH(ТабПозиции[[#This Row],[date]])&amp;"/"&amp;YEAR(ТабПозиции[[#This Row],[date]])</f>
        <v>6/2024</v>
      </c>
      <c r="D519" s="1" t="str">
        <f>IFERROR(VLOOKUP(ТабПозиции[[#This Row],[orderNum]],ТабЗаказы[#Data],MATCH(D$7,ТабЗаказы[#Headers],0),0),"")</f>
        <v/>
      </c>
      <c r="E519" s="1" t="str">
        <f>IFERROR(VLOOKUP(ТабПозиции[[#This Row],[orderNum]],ТабЗаказы[#Data],MATCH(E$7,ТабЗаказы[#Headers],0),0),"")</f>
        <v/>
      </c>
      <c r="F519" s="16" t="s">
        <v>1029</v>
      </c>
      <c r="G519" s="40" t="s">
        <v>545</v>
      </c>
      <c r="I519" s="18">
        <v>45464</v>
      </c>
      <c r="J519" s="10">
        <v>1</v>
      </c>
      <c r="K519" s="10">
        <v>319</v>
      </c>
      <c r="L519">
        <v>319</v>
      </c>
      <c r="M519" s="10">
        <v>336</v>
      </c>
      <c r="N519">
        <f t="shared" si="9"/>
        <v>336</v>
      </c>
      <c r="P5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Row],[orderNum]],ТабПозиции[orderSumm])&gt;1500),ABS(N519*VLOOKUP(ТабПозиции[[#This Row],[orderNum]],ТабЗаказы[#Data],MATCH("Percent",ТабЗаказы[#Headers],0),0))/100,200/COUNTIF(ТабПозиции[orderNum],ТабПозиции[[#This Row],[orderNum]])),0),"")</f>
        <v>50</v>
      </c>
      <c r="Q519">
        <f>IF(OR(ТабПозиции[[#This Row],[item]]="По штрихкоду",ТабПозиции[[#This Row],[item]]="Посылка"),ТабПозиции[[#This Row],[deliverySumm]]+ТабПозиции[[#This Row],[deliveryPost]],SUM(N519:P519))</f>
        <v>386</v>
      </c>
      <c r="R519" s="41">
        <v>386</v>
      </c>
      <c r="S519" s="46">
        <f>ТабПозиции[[#This Row],[totalSumm]]-ТабПозиции[[#This Row],[payment]]</f>
        <v>0</v>
      </c>
      <c r="T519" s="18" t="s">
        <v>970</v>
      </c>
      <c r="U519" s="40" t="s">
        <v>545</v>
      </c>
      <c r="V519" s="40" t="s">
        <v>545</v>
      </c>
      <c r="W519" s="40" t="s">
        <v>545</v>
      </c>
      <c r="X519" s="3"/>
      <c r="Y519"/>
    </row>
    <row r="520" spans="1:25" hidden="1" x14ac:dyDescent="0.25">
      <c r="A520" s="10">
        <v>137</v>
      </c>
      <c r="B520" s="1">
        <f>IFERROR(VLOOKUP(ТабПозиции[[#This Row],[orderNum]],ТабЗаказы[#Data],MATCH(B$7,ТабЗаказы[#Headers],0),0),"")</f>
        <v>45461</v>
      </c>
      <c r="C520" t="str">
        <f>MONTH(ТабПозиции[[#This Row],[date]])&amp;"/"&amp;YEAR(ТабПозиции[[#This Row],[date]])</f>
        <v>6/2024</v>
      </c>
      <c r="D520" s="1" t="str">
        <f>IFERROR(VLOOKUP(ТабПозиции[[#This Row],[orderNum]],ТабЗаказы[#Data],MATCH(D$7,ТабЗаказы[#Headers],0),0),"")</f>
        <v/>
      </c>
      <c r="E520" s="1" t="str">
        <f>IFERROR(VLOOKUP(ТабПозиции[[#This Row],[orderNum]],ТабЗаказы[#Data],MATCH(E$7,ТабЗаказы[#Headers],0),0),"")</f>
        <v/>
      </c>
      <c r="F520" s="16" t="s">
        <v>1030</v>
      </c>
      <c r="G520" s="40" t="s">
        <v>545</v>
      </c>
      <c r="I520" s="18">
        <v>45464</v>
      </c>
      <c r="J520" s="10">
        <v>1</v>
      </c>
      <c r="K520" s="10">
        <v>740</v>
      </c>
      <c r="L520">
        <v>740</v>
      </c>
      <c r="M520" s="10">
        <v>779</v>
      </c>
      <c r="N520">
        <f t="shared" si="9"/>
        <v>779</v>
      </c>
      <c r="P5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Row],[orderNum]],ТабПозиции[orderSumm])&gt;1500),ABS(N520*VLOOKUP(ТабПозиции[[#This Row],[orderNum]],ТабЗаказы[#Data],MATCH("Percent",ТабЗаказы[#Headers],0),0))/100,200/COUNTIF(ТабПозиции[orderNum],ТабПозиции[[#This Row],[orderNum]])),0),"")</f>
        <v>117</v>
      </c>
      <c r="Q520">
        <f>IF(OR(ТабПозиции[[#This Row],[item]]="По штрихкоду",ТабПозиции[[#This Row],[item]]="Посылка"),ТабПозиции[[#This Row],[deliverySumm]]+ТабПозиции[[#This Row],[deliveryPost]],SUM(N520:P520))</f>
        <v>896</v>
      </c>
      <c r="R520" s="41">
        <v>896</v>
      </c>
      <c r="S520" s="46">
        <f>ТабПозиции[[#This Row],[totalSumm]]-ТабПозиции[[#This Row],[payment]]</f>
        <v>0</v>
      </c>
      <c r="T520" s="18" t="s">
        <v>970</v>
      </c>
      <c r="U520" s="40" t="s">
        <v>545</v>
      </c>
      <c r="V520" s="40" t="s">
        <v>545</v>
      </c>
      <c r="W520" s="40" t="s">
        <v>545</v>
      </c>
      <c r="X520" s="3"/>
      <c r="Y520"/>
    </row>
    <row r="521" spans="1:25" hidden="1" x14ac:dyDescent="0.25">
      <c r="A521" s="10">
        <v>137</v>
      </c>
      <c r="B521" s="1">
        <f>IFERROR(VLOOKUP(ТабПозиции[[#This Row],[orderNum]],ТабЗаказы[#Data],MATCH(B$7,ТабЗаказы[#Headers],0),0),"")</f>
        <v>45461</v>
      </c>
      <c r="C521" t="str">
        <f>MONTH(ТабПозиции[[#This Row],[date]])&amp;"/"&amp;YEAR(ТабПозиции[[#This Row],[date]])</f>
        <v>6/2024</v>
      </c>
      <c r="D521" s="1" t="str">
        <f>IFERROR(VLOOKUP(ТабПозиции[[#This Row],[orderNum]],ТабЗаказы[#Data],MATCH(D$7,ТабЗаказы[#Headers],0),0),"")</f>
        <v/>
      </c>
      <c r="E521" s="1" t="str">
        <f>IFERROR(VLOOKUP(ТабПозиции[[#This Row],[orderNum]],ТабЗаказы[#Data],MATCH(E$7,ТабЗаказы[#Headers],0),0),"")</f>
        <v/>
      </c>
      <c r="F521" s="16" t="s">
        <v>1031</v>
      </c>
      <c r="G521" s="40" t="s">
        <v>545</v>
      </c>
      <c r="I521" s="18">
        <v>45465</v>
      </c>
      <c r="J521" s="10">
        <v>1</v>
      </c>
      <c r="K521" s="10">
        <v>160</v>
      </c>
      <c r="L521">
        <v>160</v>
      </c>
      <c r="M521" s="10">
        <v>169</v>
      </c>
      <c r="N521">
        <f t="shared" si="9"/>
        <v>169</v>
      </c>
      <c r="P5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Row],[orderNum]],ТабПозиции[orderSumm])&gt;1500),ABS(N521*VLOOKUP(ТабПозиции[[#This Row],[orderNum]],ТабЗаказы[#Data],MATCH("Percent",ТабЗаказы[#Headers],0),0))/100,200/COUNTIF(ТабПозиции[orderNum],ТабПозиции[[#This Row],[orderNum]])),0),"")</f>
        <v>25</v>
      </c>
      <c r="Q521">
        <f>IF(OR(ТабПозиции[[#This Row],[item]]="По штрихкоду",ТабПозиции[[#This Row],[item]]="Посылка"),ТабПозиции[[#This Row],[deliverySumm]]+ТабПозиции[[#This Row],[deliveryPost]],SUM(N521:P521))</f>
        <v>194</v>
      </c>
      <c r="R521" s="41">
        <v>194</v>
      </c>
      <c r="S521" s="46">
        <f>ТабПозиции[[#This Row],[totalSumm]]-ТабПозиции[[#This Row],[payment]]</f>
        <v>0</v>
      </c>
      <c r="T521" s="18" t="s">
        <v>970</v>
      </c>
      <c r="U521" s="40" t="s">
        <v>545</v>
      </c>
      <c r="V521" s="40" t="s">
        <v>545</v>
      </c>
      <c r="W521" s="40" t="s">
        <v>545</v>
      </c>
      <c r="X521" s="3"/>
      <c r="Y521"/>
    </row>
    <row r="522" spans="1:25" hidden="1" x14ac:dyDescent="0.25">
      <c r="A522" s="10">
        <v>138</v>
      </c>
      <c r="B522" s="1">
        <f>IFERROR(VLOOKUP(ТабПозиции[[#This Row],[orderNum]],ТабЗаказы[#Data],MATCH(B$7,ТабЗаказы[#Headers],0),0),"")</f>
        <v>45461</v>
      </c>
      <c r="C522" t="str">
        <f>MONTH(ТабПозиции[[#This Row],[date]])&amp;"/"&amp;YEAR(ТабПозиции[[#This Row],[date]])</f>
        <v>6/2024</v>
      </c>
      <c r="D522" s="1" t="str">
        <f>IFERROR(VLOOKUP(ТабПозиции[[#This Row],[orderNum]],ТабЗаказы[#Data],MATCH(D$7,ТабЗаказы[#Headers],0),0),"")</f>
        <v/>
      </c>
      <c r="E522" s="1" t="str">
        <f>IFERROR(VLOOKUP(ТабПозиции[[#This Row],[orderNum]],ТабЗаказы[#Data],MATCH(E$7,ТабЗаказы[#Headers],0),0),"")</f>
        <v/>
      </c>
      <c r="F522" s="10" t="s">
        <v>820</v>
      </c>
      <c r="G522" s="40" t="s">
        <v>545</v>
      </c>
      <c r="H522" s="12" t="s">
        <v>1032</v>
      </c>
      <c r="I522" s="18">
        <v>45467</v>
      </c>
      <c r="J522" s="10">
        <v>1</v>
      </c>
      <c r="K522" s="10">
        <v>3500</v>
      </c>
      <c r="L522">
        <v>3500</v>
      </c>
      <c r="M522" s="10">
        <v>3500</v>
      </c>
      <c r="N522">
        <f t="shared" si="9"/>
        <v>3500</v>
      </c>
      <c r="O522" s="10">
        <v>700</v>
      </c>
      <c r="P5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Row],[orderNum]],ТабПозиции[orderSumm])&gt;1500),ABS(N522*VLOOKUP(ТабПозиции[[#This Row],[orderNum]],ТабЗаказы[#Data],MATCH("Percent",ТабЗаказы[#Headers],0),0))/100,200/COUNTIF(ТабПозиции[orderNum],ТабПозиции[[#This Row],[orderNum]])),0),"")</f>
        <v>525</v>
      </c>
      <c r="Q522">
        <f>IF(OR(ТабПозиции[[#This Row],[item]]="По штрихкоду",ТабПозиции[[#This Row],[item]]="Посылка"),ТабПозиции[[#This Row],[deliverySumm]]+ТабПозиции[[#This Row],[deliveryPost]],SUM(N522:P522))</f>
        <v>1225</v>
      </c>
      <c r="R522" s="41">
        <v>1225</v>
      </c>
      <c r="S522" s="46">
        <f>ТабПозиции[[#This Row],[totalSumm]]-ТабПозиции[[#This Row],[payment]]</f>
        <v>0</v>
      </c>
      <c r="T522" s="18" t="s">
        <v>1021</v>
      </c>
      <c r="U522" s="40" t="s">
        <v>545</v>
      </c>
      <c r="V522" s="40" t="s">
        <v>545</v>
      </c>
      <c r="W522" s="40" t="s">
        <v>545</v>
      </c>
      <c r="X522" s="3"/>
      <c r="Y522"/>
    </row>
    <row r="523" spans="1:25" hidden="1" x14ac:dyDescent="0.25">
      <c r="A523" s="10">
        <v>138</v>
      </c>
      <c r="B523" s="1">
        <f>IFERROR(VLOOKUP(ТабПозиции[[#This Row],[orderNum]],ТабЗаказы[#Data],MATCH(B$7,ТабЗаказы[#Headers],0),0),"")</f>
        <v>45461</v>
      </c>
      <c r="C523" t="str">
        <f>MONTH(ТабПозиции[[#This Row],[date]])&amp;"/"&amp;YEAR(ТабПозиции[[#This Row],[date]])</f>
        <v>6/2024</v>
      </c>
      <c r="D523" s="1" t="str">
        <f>IFERROR(VLOOKUP(ТабПозиции[[#This Row],[orderNum]],ТабЗаказы[#Data],MATCH(D$7,ТабЗаказы[#Headers],0),0),"")</f>
        <v/>
      </c>
      <c r="E523" s="1" t="str">
        <f>IFERROR(VLOOKUP(ТабПозиции[[#This Row],[orderNum]],ТабЗаказы[#Data],MATCH(E$7,ТабЗаказы[#Headers],0),0),"")</f>
        <v/>
      </c>
      <c r="F523" s="10" t="s">
        <v>820</v>
      </c>
      <c r="G523" s="40" t="s">
        <v>545</v>
      </c>
      <c r="H523" s="12" t="s">
        <v>1033</v>
      </c>
      <c r="I523" s="18">
        <v>45466</v>
      </c>
      <c r="J523" s="10">
        <v>1</v>
      </c>
      <c r="K523" s="10">
        <v>537</v>
      </c>
      <c r="L523">
        <v>537</v>
      </c>
      <c r="M523" s="10">
        <v>537</v>
      </c>
      <c r="N523">
        <f t="shared" si="9"/>
        <v>537</v>
      </c>
      <c r="P5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Row],[orderNum]],ТабПозиции[orderSumm])&gt;1500),ABS(N523*VLOOKUP(ТабПозиции[[#This Row],[orderNum]],ТабЗаказы[#Data],MATCH("Percent",ТабЗаказы[#Headers],0),0))/100,200/COUNTIF(ТабПозиции[orderNum],ТабПозиции[[#This Row],[orderNum]])),0),"")</f>
        <v>81</v>
      </c>
      <c r="Q523">
        <f>IF(OR(ТабПозиции[[#This Row],[item]]="По штрихкоду",ТабПозиции[[#This Row],[item]]="Посылка"),ТабПозиции[[#This Row],[deliverySumm]]+ТабПозиции[[#This Row],[deliveryPost]],SUM(N523:P523))</f>
        <v>81</v>
      </c>
      <c r="R523" s="41">
        <v>81</v>
      </c>
      <c r="S523" s="46">
        <f>ТабПозиции[[#This Row],[totalSumm]]-ТабПозиции[[#This Row],[payment]]</f>
        <v>0</v>
      </c>
      <c r="T523" s="18" t="s">
        <v>584</v>
      </c>
      <c r="U523" s="40" t="s">
        <v>545</v>
      </c>
      <c r="V523" s="40" t="s">
        <v>545</v>
      </c>
      <c r="W523" s="40" t="s">
        <v>545</v>
      </c>
      <c r="X523" s="3"/>
      <c r="Y523"/>
    </row>
    <row r="524" spans="1:25" hidden="1" x14ac:dyDescent="0.25">
      <c r="A524" s="10">
        <v>139</v>
      </c>
      <c r="B524" s="1">
        <f>IFERROR(VLOOKUP(ТабПозиции[[#This Row],[orderNum]],ТабЗаказы[#Data],MATCH(B$7,ТабЗаказы[#Headers],0),0),"")</f>
        <v>45460</v>
      </c>
      <c r="C524" t="str">
        <f>MONTH(ТабПозиции[[#This Row],[date]])&amp;"/"&amp;YEAR(ТабПозиции[[#This Row],[date]])</f>
        <v>6/2024</v>
      </c>
      <c r="D524" s="1" t="str">
        <f>IFERROR(VLOOKUP(ТабПозиции[[#This Row],[orderNum]],ТабЗаказы[#Data],MATCH(D$7,ТабЗаказы[#Headers],0),0),"")</f>
        <v/>
      </c>
      <c r="E524" s="1" t="str">
        <f>IFERROR(VLOOKUP(ТабПозиции[[#This Row],[orderNum]],ТабЗаказы[#Data],MATCH(E$7,ТабЗаказы[#Headers],0),0),"")</f>
        <v/>
      </c>
      <c r="F524" s="10" t="s">
        <v>820</v>
      </c>
      <c r="G524" s="40" t="s">
        <v>545</v>
      </c>
      <c r="H524" s="12" t="s">
        <v>1034</v>
      </c>
      <c r="I524" s="18">
        <v>45462</v>
      </c>
      <c r="J524" s="10">
        <v>1</v>
      </c>
      <c r="K524" s="10">
        <v>6500</v>
      </c>
      <c r="L524">
        <v>6500</v>
      </c>
      <c r="M524" s="10">
        <v>6500</v>
      </c>
      <c r="N524">
        <f t="shared" si="9"/>
        <v>6500</v>
      </c>
      <c r="P5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Row],[orderNum]],ТабПозиции[orderSumm])&gt;1500),ABS(N524*VLOOKUP(ТабПозиции[[#This Row],[orderNum]],ТабЗаказы[#Data],MATCH("Percent",ТабЗаказы[#Headers],0),0))/100,200/COUNTIF(ТабПозиции[orderNum],ТабПозиции[[#This Row],[orderNum]])),0),"")</f>
        <v>650</v>
      </c>
      <c r="Q524">
        <f>IF(OR(ТабПозиции[[#This Row],[item]]="По штрихкоду",ТабПозиции[[#This Row],[item]]="Посылка"),ТабПозиции[[#This Row],[deliverySumm]]+ТабПозиции[[#This Row],[deliveryPost]],SUM(N524:P524))</f>
        <v>650</v>
      </c>
      <c r="R524" s="41">
        <v>650</v>
      </c>
      <c r="S524" s="46">
        <f>ТабПозиции[[#This Row],[totalSumm]]-ТабПозиции[[#This Row],[payment]]</f>
        <v>0</v>
      </c>
      <c r="T524" s="18" t="s">
        <v>676</v>
      </c>
      <c r="U524" s="40" t="s">
        <v>545</v>
      </c>
      <c r="V524" s="40" t="s">
        <v>545</v>
      </c>
      <c r="W524" s="40" t="s">
        <v>545</v>
      </c>
      <c r="X524" s="3"/>
      <c r="Y524"/>
    </row>
    <row r="525" spans="1:25" hidden="1" x14ac:dyDescent="0.25">
      <c r="A525" s="10">
        <v>139</v>
      </c>
      <c r="B525" s="1">
        <f>IFERROR(VLOOKUP(ТабПозиции[[#This Row],[orderNum]],ТабЗаказы[#Data],MATCH(B$7,ТабЗаказы[#Headers],0),0),"")</f>
        <v>45460</v>
      </c>
      <c r="C525" t="str">
        <f>MONTH(ТабПозиции[[#This Row],[date]])&amp;"/"&amp;YEAR(ТабПозиции[[#This Row],[date]])</f>
        <v>6/2024</v>
      </c>
      <c r="D525" s="1" t="str">
        <f>IFERROR(VLOOKUP(ТабПозиции[[#This Row],[orderNum]],ТабЗаказы[#Data],MATCH(D$7,ТабЗаказы[#Headers],0),0),"")</f>
        <v/>
      </c>
      <c r="E525" s="1" t="str">
        <f>IFERROR(VLOOKUP(ТабПозиции[[#This Row],[orderNum]],ТабЗаказы[#Data],MATCH(E$7,ТабЗаказы[#Headers],0),0),"")</f>
        <v/>
      </c>
      <c r="F525" s="10" t="s">
        <v>820</v>
      </c>
      <c r="G525" s="40" t="s">
        <v>545</v>
      </c>
      <c r="H525" s="12" t="s">
        <v>1035</v>
      </c>
      <c r="I525" s="18">
        <v>45461</v>
      </c>
      <c r="J525" s="10">
        <v>1</v>
      </c>
      <c r="K525" s="10">
        <v>5200</v>
      </c>
      <c r="L525">
        <v>5200</v>
      </c>
      <c r="M525" s="10">
        <v>5200</v>
      </c>
      <c r="N525">
        <f t="shared" si="9"/>
        <v>5200</v>
      </c>
      <c r="O525" s="10">
        <v>442.6</v>
      </c>
      <c r="P5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Row],[orderNum]],ТабПозиции[orderSumm])&gt;1500),ABS(N525*VLOOKUP(ТабПозиции[[#This Row],[orderNum]],ТабЗаказы[#Data],MATCH("Percent",ТабЗаказы[#Headers],0),0))/100,200/COUNTIF(ТабПозиции[orderNum],ТабПозиции[[#This Row],[orderNum]])),0),"")</f>
        <v>520</v>
      </c>
      <c r="Q525">
        <f>IF(OR(ТабПозиции[[#This Row],[item]]="По штрихкоду",ТабПозиции[[#This Row],[item]]="Посылка"),ТабПозиции[[#This Row],[deliverySumm]]+ТабПозиции[[#This Row],[deliveryPost]],SUM(N525:P525))</f>
        <v>962.6</v>
      </c>
      <c r="R525" s="41">
        <v>962.6</v>
      </c>
      <c r="S525" s="46">
        <f>ТабПозиции[[#This Row],[totalSumm]]-ТабПозиции[[#This Row],[payment]]</f>
        <v>0</v>
      </c>
      <c r="T525" s="18" t="s">
        <v>676</v>
      </c>
      <c r="U525" s="40" t="s">
        <v>545</v>
      </c>
      <c r="V525" s="40" t="s">
        <v>545</v>
      </c>
      <c r="W525" s="40" t="s">
        <v>545</v>
      </c>
      <c r="X525" s="3"/>
      <c r="Y525"/>
    </row>
    <row r="526" spans="1:25" hidden="1" x14ac:dyDescent="0.25">
      <c r="A526" s="10">
        <v>140</v>
      </c>
      <c r="B526" s="1">
        <f>IFERROR(VLOOKUP(ТабПозиции[[#This Row],[orderNum]],ТабЗаказы[#Data],MATCH(B$7,ТабЗаказы[#Headers],0),0),"")</f>
        <v>45464</v>
      </c>
      <c r="C526" t="str">
        <f>MONTH(ТабПозиции[[#This Row],[date]])&amp;"/"&amp;YEAR(ТабПозиции[[#This Row],[date]])</f>
        <v>6/2024</v>
      </c>
      <c r="D526" s="1" t="str">
        <f>IFERROR(VLOOKUP(ТабПозиции[[#This Row],[orderNum]],ТабЗаказы[#Data],MATCH(D$7,ТабЗаказы[#Headers],0),0),"")</f>
        <v/>
      </c>
      <c r="E526" s="1" t="str">
        <f>IFERROR(VLOOKUP(ТабПозиции[[#This Row],[orderNum]],ТабЗаказы[#Data],MATCH(E$7,ТабЗаказы[#Headers],0),0),"")</f>
        <v/>
      </c>
      <c r="F526" s="16" t="s">
        <v>1036</v>
      </c>
      <c r="G526" s="40" t="s">
        <v>545</v>
      </c>
      <c r="I526" s="18">
        <v>45464</v>
      </c>
      <c r="J526" s="10">
        <v>1</v>
      </c>
      <c r="K526" s="10">
        <v>349</v>
      </c>
      <c r="L526">
        <v>349</v>
      </c>
      <c r="M526" s="10">
        <v>400</v>
      </c>
      <c r="N526">
        <f t="shared" si="9"/>
        <v>400</v>
      </c>
      <c r="P5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Row],[orderNum]],ТабПозиции[orderSumm])&gt;1500),ABS(N526*VLOOKUP(ТабПозиции[[#This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526">
        <f>IF(OR(ТабПозиции[[#This Row],[item]]="По штрихкоду",ТабПозиции[[#This Row],[item]]="Посылка"),ТабПозиции[[#This Row],[deliverySumm]]+ТабПозиции[[#This Row],[deliveryPost]],SUM(N526:P526))</f>
        <v>600</v>
      </c>
      <c r="R526" s="41">
        <v>600</v>
      </c>
      <c r="S526" s="46">
        <f>ТабПозиции[[#This Row],[totalSumm]]-ТабПозиции[[#This Row],[payment]]</f>
        <v>0</v>
      </c>
      <c r="T526" s="18" t="s">
        <v>960</v>
      </c>
      <c r="U526" s="40" t="s">
        <v>545</v>
      </c>
      <c r="V526" s="40" t="s">
        <v>545</v>
      </c>
      <c r="W526" s="40" t="s">
        <v>545</v>
      </c>
      <c r="X526" s="3"/>
      <c r="Y526"/>
    </row>
    <row r="527" spans="1:25" hidden="1" x14ac:dyDescent="0.25">
      <c r="A527" s="10">
        <v>141</v>
      </c>
      <c r="B527" s="1">
        <f>IFERROR(VLOOKUP(ТабПозиции[[#This Row],[orderNum]],ТабЗаказы[#Data],MATCH(B$7,ТабЗаказы[#Headers],0),0),"")</f>
        <v>45464</v>
      </c>
      <c r="C527" t="str">
        <f>MONTH(ТабПозиции[[#This Row],[date]])&amp;"/"&amp;YEAR(ТабПозиции[[#This Row],[date]])</f>
        <v>6/2024</v>
      </c>
      <c r="D527" s="1" t="str">
        <f>IFERROR(VLOOKUP(ТабПозиции[[#This Row],[orderNum]],ТабЗаказы[#Data],MATCH(D$7,ТабЗаказы[#Headers],0),0),"")</f>
        <v/>
      </c>
      <c r="E527" s="1" t="str">
        <f>IFERROR(VLOOKUP(ТабПозиции[[#This Row],[orderNum]],ТабЗаказы[#Data],MATCH(E$7,ТабЗаказы[#Headers],0),0),"")</f>
        <v/>
      </c>
      <c r="F527" s="10" t="s">
        <v>32</v>
      </c>
      <c r="G527" s="40" t="s">
        <v>545</v>
      </c>
      <c r="I527" s="18">
        <v>45464</v>
      </c>
      <c r="J527" s="10">
        <v>1</v>
      </c>
      <c r="K527" s="10">
        <v>3091</v>
      </c>
      <c r="L527">
        <v>3091</v>
      </c>
      <c r="M527" s="10">
        <v>3091</v>
      </c>
      <c r="N527">
        <f t="shared" si="9"/>
        <v>3091</v>
      </c>
      <c r="P5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Row],[orderNum]],ТабПозиции[orderSumm])&gt;1500),ABS(N527*VLOOKUP(ТабПозиции[[#This Row],[orderNum]],ТабЗаказы[#Data],MATCH("Percent",ТабЗаказы[#Headers],0),0))/100,200/COUNTIF(ТабПозиции[orderNum],ТабПозиции[[#This Row],[orderNum]])),0),"")</f>
        <v>309</v>
      </c>
      <c r="Q527">
        <f>IF(OR(ТабПозиции[[#This Row],[item]]="По штрихкоду",ТабПозиции[[#This Row],[item]]="Посылка"),ТабПозиции[[#This Row],[deliverySumm]]+ТабПозиции[[#This Row],[deliveryPost]],SUM(N527:P527))</f>
        <v>309</v>
      </c>
      <c r="R527" s="41">
        <v>309</v>
      </c>
      <c r="S527" s="46">
        <f>ТабПозиции[[#This Row],[totalSumm]]-ТабПозиции[[#This Row],[payment]]</f>
        <v>0</v>
      </c>
      <c r="T527" s="18" t="s">
        <v>580</v>
      </c>
      <c r="U527" s="40" t="s">
        <v>545</v>
      </c>
      <c r="V527" s="40" t="s">
        <v>545</v>
      </c>
      <c r="W527" s="40" t="s">
        <v>545</v>
      </c>
      <c r="X527" s="3"/>
      <c r="Y527"/>
    </row>
    <row r="528" spans="1:25" hidden="1" x14ac:dyDescent="0.25">
      <c r="A528" s="10">
        <v>142</v>
      </c>
      <c r="B528" s="1">
        <f>IFERROR(VLOOKUP(ТабПозиции[[#This Row],[orderNum]],ТабЗаказы[#Data],MATCH(B$7,ТабЗаказы[#Headers],0),0),"")</f>
        <v>45465</v>
      </c>
      <c r="C528" t="str">
        <f>MONTH(ТабПозиции[[#This Row],[date]])&amp;"/"&amp;YEAR(ТабПозиции[[#This Row],[date]])</f>
        <v>6/2024</v>
      </c>
      <c r="D528" s="1" t="str">
        <f>IFERROR(VLOOKUP(ТабПозиции[[#This Row],[orderNum]],ТабЗаказы[#Data],MATCH(D$7,ТабЗаказы[#Headers],0),0),"")</f>
        <v/>
      </c>
      <c r="E528" s="1" t="str">
        <f>IFERROR(VLOOKUP(ТабПозиции[[#This Row],[orderNum]],ТабЗаказы[#Data],MATCH(E$7,ТабЗаказы[#Headers],0),0),"")</f>
        <v/>
      </c>
      <c r="F528" s="16" t="s">
        <v>1037</v>
      </c>
      <c r="G528" s="40" t="s">
        <v>545</v>
      </c>
      <c r="I528" s="18">
        <v>45472</v>
      </c>
      <c r="J528" s="10">
        <v>2</v>
      </c>
      <c r="K528" s="10">
        <v>556</v>
      </c>
      <c r="L528">
        <v>1112</v>
      </c>
      <c r="M528" s="10">
        <v>618</v>
      </c>
      <c r="N528">
        <f t="shared" si="9"/>
        <v>1236</v>
      </c>
      <c r="P5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Row],[orderNum]],ТабПозиции[orderSumm])&gt;1500),ABS(N528*VLOOKUP(ТабПозиции[[#This Row],[orderNum]],ТабЗаказы[#Data],MATCH("Percent",ТабЗаказы[#Headers],0),0))/100,200/COUNTIF(ТабПозиции[orderNum],ТабПозиции[[#This Row],[orderNum]])),0),"")</f>
        <v>185</v>
      </c>
      <c r="Q528">
        <f>IF(OR(ТабПозиции[[#This Row],[item]]="По штрихкоду",ТабПозиции[[#This Row],[item]]="Посылка"),ТабПозиции[[#This Row],[deliverySumm]]+ТабПозиции[[#This Row],[deliveryPost]],SUM(N528:P528))</f>
        <v>1421</v>
      </c>
      <c r="R528" s="41">
        <v>1421</v>
      </c>
      <c r="S528" s="46">
        <f>ТабПозиции[[#This Row],[totalSumm]]-ТабПозиции[[#This Row],[payment]]</f>
        <v>0</v>
      </c>
      <c r="T528" s="18" t="s">
        <v>960</v>
      </c>
      <c r="U528" s="40" t="s">
        <v>545</v>
      </c>
      <c r="V528" s="40" t="s">
        <v>545</v>
      </c>
      <c r="W528" s="40" t="s">
        <v>545</v>
      </c>
      <c r="X528" s="3"/>
      <c r="Y528"/>
    </row>
    <row r="529" spans="1:25" hidden="1" x14ac:dyDescent="0.25">
      <c r="A529" s="10">
        <v>142</v>
      </c>
      <c r="B529" s="1">
        <f>IFERROR(VLOOKUP(ТабПозиции[[#This Row],[orderNum]],ТабЗаказы[#Data],MATCH(B$7,ТабЗаказы[#Headers],0),0),"")</f>
        <v>45465</v>
      </c>
      <c r="C529" t="str">
        <f>MONTH(ТабПозиции[[#This Row],[date]])&amp;"/"&amp;YEAR(ТабПозиции[[#This Row],[date]])</f>
        <v>6/2024</v>
      </c>
      <c r="D529" s="1" t="str">
        <f>IFERROR(VLOOKUP(ТабПозиции[[#This Row],[orderNum]],ТабЗаказы[#Data],MATCH(D$7,ТабЗаказы[#Headers],0),0),"")</f>
        <v/>
      </c>
      <c r="E529" s="1" t="str">
        <f>IFERROR(VLOOKUP(ТабПозиции[[#This Row],[orderNum]],ТабЗаказы[#Data],MATCH(E$7,ТабЗаказы[#Headers],0),0),"")</f>
        <v/>
      </c>
      <c r="F529" s="16" t="s">
        <v>1038</v>
      </c>
      <c r="G529" s="40" t="s">
        <v>545</v>
      </c>
      <c r="I529" s="18">
        <v>45468</v>
      </c>
      <c r="J529" s="10">
        <v>1</v>
      </c>
      <c r="K529" s="10">
        <v>1407</v>
      </c>
      <c r="L529">
        <v>1407</v>
      </c>
      <c r="M529" s="10">
        <v>1823</v>
      </c>
      <c r="N529">
        <f t="shared" si="9"/>
        <v>1823</v>
      </c>
      <c r="P5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Row],[orderNum]],ТабПозиции[orderSumm])&gt;1500),ABS(N529*VLOOKUP(ТабПозиции[[#This Row],[orderNum]],ТабЗаказы[#Data],MATCH("Percent",ТабЗаказы[#Headers],0),0))/100,200/COUNTIF(ТабПозиции[orderNum],ТабПозиции[[#This Row],[orderNum]])),0),"")</f>
        <v>273</v>
      </c>
      <c r="Q529">
        <f>IF(OR(ТабПозиции[[#This Row],[item]]="По штрихкоду",ТабПозиции[[#This Row],[item]]="Посылка"),ТабПозиции[[#This Row],[deliverySumm]]+ТабПозиции[[#This Row],[deliveryPost]],SUM(N529:P529))</f>
        <v>2096</v>
      </c>
      <c r="R529" s="41">
        <v>2096</v>
      </c>
      <c r="S529" s="46">
        <f>ТабПозиции[[#This Row],[totalSumm]]-ТабПозиции[[#This Row],[payment]]</f>
        <v>0</v>
      </c>
      <c r="T529" s="18" t="s">
        <v>960</v>
      </c>
      <c r="U529" s="40" t="s">
        <v>545</v>
      </c>
      <c r="V529" s="40" t="s">
        <v>545</v>
      </c>
      <c r="W529" s="40" t="s">
        <v>545</v>
      </c>
      <c r="X529" s="3"/>
      <c r="Y529"/>
    </row>
    <row r="530" spans="1:25" hidden="1" x14ac:dyDescent="0.25">
      <c r="A530" s="10">
        <v>144</v>
      </c>
      <c r="B530" s="1">
        <f>IFERROR(VLOOKUP(ТабПозиции[[#This Row],[orderNum]],ТабЗаказы[#Data],MATCH(B$7,ТабЗаказы[#Headers],0),0),"")</f>
        <v>45465</v>
      </c>
      <c r="C530" t="str">
        <f>MONTH(ТабПозиции[[#This Row],[date]])&amp;"/"&amp;YEAR(ТабПозиции[[#This Row],[date]])</f>
        <v>6/2024</v>
      </c>
      <c r="D530" s="1" t="str">
        <f>IFERROR(VLOOKUP(ТабПозиции[[#This Row],[orderNum]],ТабЗаказы[#Data],MATCH(D$7,ТабЗаказы[#Headers],0),0),"")</f>
        <v/>
      </c>
      <c r="E530" s="1" t="str">
        <f>IFERROR(VLOOKUP(ТабПозиции[[#This Row],[orderNum]],ТабЗаказы[#Data],MATCH(E$7,ТабЗаказы[#Headers],0),0),"")</f>
        <v/>
      </c>
      <c r="F530" s="10" t="s">
        <v>32</v>
      </c>
      <c r="G530" s="40" t="s">
        <v>545</v>
      </c>
      <c r="I530" s="18">
        <v>45475</v>
      </c>
      <c r="J530" s="10">
        <v>1</v>
      </c>
      <c r="K530" s="10">
        <v>2753</v>
      </c>
      <c r="L530">
        <v>2753</v>
      </c>
      <c r="M530" s="10">
        <v>2753</v>
      </c>
      <c r="N530">
        <f t="shared" si="9"/>
        <v>2753</v>
      </c>
      <c r="P5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Row],[orderNum]],ТабПозиции[orderSumm])&gt;1500),ABS(N530*VLOOKUP(ТабПозиции[[#This Row],[orderNum]],ТабЗаказы[#Data],MATCH("Percent",ТабЗаказы[#Headers],0),0))/100,200/COUNTIF(ТабПозиции[orderNum],ТабПозиции[[#This Row],[orderNum]])),0),"")</f>
        <v>413</v>
      </c>
      <c r="Q530">
        <f>IF(OR(ТабПозиции[[#This Row],[item]]="По штрихкоду",ТабПозиции[[#This Row],[item]]="Посылка"),ТабПозиции[[#This Row],[deliverySumm]]+ТабПозиции[[#This Row],[deliveryPost]],SUM(N530:P530))</f>
        <v>413</v>
      </c>
      <c r="R530" s="41">
        <v>413</v>
      </c>
      <c r="S530" s="46">
        <f>ТабПозиции[[#This Row],[totalSumm]]-ТабПозиции[[#This Row],[payment]]</f>
        <v>0</v>
      </c>
      <c r="T530" s="18" t="s">
        <v>1005</v>
      </c>
      <c r="U530" s="40" t="s">
        <v>552</v>
      </c>
      <c r="V530" s="40" t="s">
        <v>545</v>
      </c>
      <c r="W530" s="40" t="s">
        <v>545</v>
      </c>
      <c r="X530" s="3"/>
      <c r="Y530"/>
    </row>
    <row r="531" spans="1:25" hidden="1" x14ac:dyDescent="0.25">
      <c r="A531" s="10">
        <v>144</v>
      </c>
      <c r="B531" s="1">
        <f>IFERROR(VLOOKUP(ТабПозиции[[#This Row],[orderNum]],ТабЗаказы[#Data],MATCH(B$7,ТабЗаказы[#Headers],0),0),"")</f>
        <v>45465</v>
      </c>
      <c r="C531" t="str">
        <f>MONTH(ТабПозиции[[#This Row],[date]])&amp;"/"&amp;YEAR(ТабПозиции[[#This Row],[date]])</f>
        <v>6/2024</v>
      </c>
      <c r="D531" s="1" t="str">
        <f>IFERROR(VLOOKUP(ТабПозиции[[#This Row],[orderNum]],ТабЗаказы[#Data],MATCH(D$7,ТабЗаказы[#Headers],0),0),"")</f>
        <v/>
      </c>
      <c r="E531" s="1" t="str">
        <f>IFERROR(VLOOKUP(ТабПозиции[[#This Row],[orderNum]],ТабЗаказы[#Data],MATCH(E$7,ТабЗаказы[#Headers],0),0),"")</f>
        <v/>
      </c>
      <c r="F531" s="10" t="s">
        <v>32</v>
      </c>
      <c r="G531" s="40" t="s">
        <v>545</v>
      </c>
      <c r="I531" s="18">
        <v>45472</v>
      </c>
      <c r="J531" s="10">
        <v>1</v>
      </c>
      <c r="K531" s="10">
        <v>1375</v>
      </c>
      <c r="L531">
        <v>1375</v>
      </c>
      <c r="M531" s="10">
        <v>1375</v>
      </c>
      <c r="N531">
        <f t="shared" si="9"/>
        <v>1375</v>
      </c>
      <c r="P5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Row],[orderNum]],ТабПозиции[orderSumm])&gt;1500),ABS(N531*VLOOKUP(ТабПозиции[[#This Row],[orderNum]],ТабЗаказы[#Data],MATCH("Percent",ТабЗаказы[#Headers],0),0))/100,200/COUNTIF(ТабПозиции[orderNum],ТабПозиции[[#This Row],[orderNum]])),0),"")</f>
        <v>206</v>
      </c>
      <c r="Q531">
        <f>IF(OR(ТабПозиции[[#This Row],[item]]="По штрихкоду",ТабПозиции[[#This Row],[item]]="Посылка"),ТабПозиции[[#This Row],[deliverySumm]]+ТабПозиции[[#This Row],[deliveryPost]],SUM(N531:P531))</f>
        <v>206</v>
      </c>
      <c r="R531" s="41">
        <v>206</v>
      </c>
      <c r="S531" s="46">
        <f>ТабПозиции[[#This Row],[totalSumm]]-ТабПозиции[[#This Row],[payment]]</f>
        <v>0</v>
      </c>
      <c r="T531" s="18" t="s">
        <v>1005</v>
      </c>
      <c r="U531" s="40" t="s">
        <v>552</v>
      </c>
      <c r="V531" s="40" t="s">
        <v>545</v>
      </c>
      <c r="W531" s="40" t="s">
        <v>545</v>
      </c>
      <c r="X531" s="3"/>
      <c r="Y531"/>
    </row>
    <row r="532" spans="1:25" hidden="1" x14ac:dyDescent="0.25">
      <c r="A532" s="10">
        <v>143</v>
      </c>
      <c r="B532" s="1">
        <f>IFERROR(VLOOKUP(ТабПозиции[[#This Row],[orderNum]],ТабЗаказы[#Data],MATCH(B$7,ТабЗаказы[#Headers],0),0),"")</f>
        <v>45465</v>
      </c>
      <c r="C532" t="str">
        <f>MONTH(ТабПозиции[[#This Row],[date]])&amp;"/"&amp;YEAR(ТабПозиции[[#This Row],[date]])</f>
        <v>6/2024</v>
      </c>
      <c r="D532" s="1" t="str">
        <f>IFERROR(VLOOKUP(ТабПозиции[[#This Row],[orderNum]],ТабЗаказы[#Data],MATCH(D$7,ТабЗаказы[#Headers],0),0),"")</f>
        <v/>
      </c>
      <c r="E532" s="1" t="str">
        <f>IFERROR(VLOOKUP(ТабПозиции[[#This Row],[orderNum]],ТабЗаказы[#Data],MATCH(E$7,ТабЗаказы[#Headers],0),0),"")</f>
        <v/>
      </c>
      <c r="F532" s="10" t="s">
        <v>32</v>
      </c>
      <c r="G532" s="40" t="s">
        <v>545</v>
      </c>
      <c r="I532" s="18">
        <v>45469</v>
      </c>
      <c r="J532" s="10">
        <v>1</v>
      </c>
      <c r="K532" s="10">
        <v>4374</v>
      </c>
      <c r="L532">
        <v>4374</v>
      </c>
      <c r="M532" s="10">
        <v>4374</v>
      </c>
      <c r="N532">
        <f t="shared" si="9"/>
        <v>4374</v>
      </c>
      <c r="P5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Row],[orderNum]],ТабПозиции[orderSumm])&gt;1500),ABS(N532*VLOOKUP(ТабПозиции[[#This Row],[orderNum]],ТабЗаказы[#Data],MATCH("Percent",ТабЗаказы[#Headers],0),0))/100,200/COUNTIF(ТабПозиции[orderNum],ТабПозиции[[#This Row],[orderNum]])),0),"")</f>
        <v>656</v>
      </c>
      <c r="Q532">
        <f>IF(OR(ТабПозиции[[#This Row],[item]]="По штрихкоду",ТабПозиции[[#This Row],[item]]="Посылка"),ТабПозиции[[#This Row],[deliverySumm]]+ТабПозиции[[#This Row],[deliveryPost]],SUM(N532:P532))</f>
        <v>656</v>
      </c>
      <c r="R532" s="41">
        <v>656</v>
      </c>
      <c r="S532" s="46">
        <f>ТабПозиции[[#This Row],[totalSumm]]-ТабПозиции[[#This Row],[payment]]</f>
        <v>0</v>
      </c>
      <c r="T532" s="18" t="s">
        <v>1005</v>
      </c>
      <c r="U532" s="40" t="s">
        <v>552</v>
      </c>
      <c r="V532" s="40" t="s">
        <v>545</v>
      </c>
      <c r="W532" s="40" t="s">
        <v>545</v>
      </c>
      <c r="X532" s="3"/>
      <c r="Y532"/>
    </row>
    <row r="533" spans="1:25" hidden="1" x14ac:dyDescent="0.25">
      <c r="A533" s="10">
        <v>145</v>
      </c>
      <c r="B533" s="1">
        <f>IFERROR(VLOOKUP(ТабПозиции[[#This Row],[orderNum]],ТабЗаказы[#Data],MATCH(B$7,ТабЗаказы[#Headers],0),0),"")</f>
        <v>45466</v>
      </c>
      <c r="C533" t="str">
        <f>MONTH(ТабПозиции[[#This Row],[date]])&amp;"/"&amp;YEAR(ТабПозиции[[#This Row],[date]])</f>
        <v>6/2024</v>
      </c>
      <c r="D533" s="1" t="str">
        <f>IFERROR(VLOOKUP(ТабПозиции[[#This Row],[orderNum]],ТабЗаказы[#Data],MATCH(D$7,ТабЗаказы[#Headers],0),0),"")</f>
        <v/>
      </c>
      <c r="E533" s="1" t="str">
        <f>IFERROR(VLOOKUP(ТабПозиции[[#This Row],[orderNum]],ТабЗаказы[#Data],MATCH(E$7,ТабЗаказы[#Headers],0),0),"")</f>
        <v/>
      </c>
      <c r="F533" s="16" t="s">
        <v>1039</v>
      </c>
      <c r="G533" s="40" t="s">
        <v>545</v>
      </c>
      <c r="I533" s="18">
        <v>45473</v>
      </c>
      <c r="J533" s="10">
        <v>2</v>
      </c>
      <c r="K533" s="10">
        <v>534</v>
      </c>
      <c r="L533">
        <v>1068</v>
      </c>
      <c r="M533" s="10">
        <v>592</v>
      </c>
      <c r="N533">
        <f t="shared" si="9"/>
        <v>1184</v>
      </c>
      <c r="P5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Row],[orderNum]],ТабПозиции[orderSumm])&gt;1500),ABS(N533*VLOOKUP(ТабПозиции[[#This Row],[orderNum]],ТабЗаказы[#Data],MATCH("Percent",ТабЗаказы[#Headers],0),0))/100,200/COUNTIF(ТабПозиции[orderNum],ТабПозиции[[#This Row],[orderNum]])),0),"")</f>
        <v>178</v>
      </c>
      <c r="Q533">
        <f>IF(OR(ТабПозиции[[#This Row],[item]]="По штрихкоду",ТабПозиции[[#This Row],[item]]="Посылка"),ТабПозиции[[#This Row],[deliverySumm]]+ТабПозиции[[#This Row],[deliveryPost]],SUM(N533:P533))</f>
        <v>1362</v>
      </c>
      <c r="R533" s="41">
        <v>1362</v>
      </c>
      <c r="S533" s="46">
        <f>ТабПозиции[[#This Row],[totalSumm]]-ТабПозиции[[#This Row],[payment]]</f>
        <v>0</v>
      </c>
      <c r="T533" s="18" t="s">
        <v>960</v>
      </c>
      <c r="U533" s="40" t="s">
        <v>552</v>
      </c>
      <c r="V533" s="40" t="s">
        <v>552</v>
      </c>
      <c r="W533" s="40" t="s">
        <v>545</v>
      </c>
      <c r="X533" s="3"/>
      <c r="Y533"/>
    </row>
    <row r="534" spans="1:25" hidden="1" x14ac:dyDescent="0.25">
      <c r="A534" s="10">
        <v>145</v>
      </c>
      <c r="B534" s="1">
        <f>IFERROR(VLOOKUP(ТабПозиции[[#This Row],[orderNum]],ТабЗаказы[#Data],MATCH(B$7,ТабЗаказы[#Headers],0),0),"")</f>
        <v>45466</v>
      </c>
      <c r="C534" t="str">
        <f>MONTH(ТабПозиции[[#This Row],[date]])&amp;"/"&amp;YEAR(ТабПозиции[[#This Row],[date]])</f>
        <v>6/2024</v>
      </c>
      <c r="D534" s="1" t="str">
        <f>IFERROR(VLOOKUP(ТабПозиции[[#This Row],[orderNum]],ТабЗаказы[#Data],MATCH(D$7,ТабЗаказы[#Headers],0),0),"")</f>
        <v/>
      </c>
      <c r="E534" s="1" t="str">
        <f>IFERROR(VLOOKUP(ТабПозиции[[#This Row],[orderNum]],ТабЗаказы[#Data],MATCH(E$7,ТабЗаказы[#Headers],0),0),"")</f>
        <v/>
      </c>
      <c r="F534" s="16" t="s">
        <v>700</v>
      </c>
      <c r="G534" s="40" t="s">
        <v>545</v>
      </c>
      <c r="I534" s="18">
        <v>45468</v>
      </c>
      <c r="J534" s="10">
        <v>1</v>
      </c>
      <c r="K534" s="10">
        <v>501</v>
      </c>
      <c r="L534">
        <v>501</v>
      </c>
      <c r="M534" s="10">
        <v>528</v>
      </c>
      <c r="N534">
        <f t="shared" si="9"/>
        <v>528</v>
      </c>
      <c r="P5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Row],[orderNum]],ТабПозиции[orderSumm])&gt;1500),ABS(N534*VLOOKUP(ТабПозиции[[#This Row],[orderNum]],ТабЗаказы[#Data],MATCH("Percent",ТабЗаказы[#Headers],0),0))/100,200/COUNTIF(ТабПозиции[orderNum],ТабПозиции[[#This Row],[orderNum]])),0),"")</f>
        <v>79</v>
      </c>
      <c r="Q534">
        <f>IF(OR(ТабПозиции[[#This Row],[item]]="По штрихкоду",ТабПозиции[[#This Row],[item]]="Посылка"),ТабПозиции[[#This Row],[deliverySumm]]+ТабПозиции[[#This Row],[deliveryPost]],SUM(N534:P534))</f>
        <v>607</v>
      </c>
      <c r="R534" s="41">
        <v>607</v>
      </c>
      <c r="S534" s="46">
        <f>ТабПозиции[[#This Row],[totalSumm]]-ТабПозиции[[#This Row],[payment]]</f>
        <v>0</v>
      </c>
      <c r="T534" s="18" t="s">
        <v>960</v>
      </c>
      <c r="U534" s="40" t="s">
        <v>545</v>
      </c>
      <c r="V534" s="40" t="s">
        <v>545</v>
      </c>
      <c r="W534" s="40" t="s">
        <v>545</v>
      </c>
      <c r="X534" s="3"/>
      <c r="Y534"/>
    </row>
    <row r="535" spans="1:25" hidden="1" x14ac:dyDescent="0.25">
      <c r="A535" s="10">
        <v>146</v>
      </c>
      <c r="B535" s="1">
        <f>IFERROR(VLOOKUP(ТабПозиции[[#This Row],[orderNum]],ТабЗаказы[#Data],MATCH(B$7,ТабЗаказы[#Headers],0),0),"")</f>
        <v>45467</v>
      </c>
      <c r="C535" t="str">
        <f>MONTH(ТабПозиции[[#This Row],[date]])&amp;"/"&amp;YEAR(ТабПозиции[[#This Row],[date]])</f>
        <v>6/2024</v>
      </c>
      <c r="D535" s="1" t="str">
        <f>IFERROR(VLOOKUP(ТабПозиции[[#This Row],[orderNum]],ТабЗаказы[#Data],MATCH(D$7,ТабЗаказы[#Headers],0),0),"")</f>
        <v/>
      </c>
      <c r="E535" s="1" t="str">
        <f>IFERROR(VLOOKUP(ТабПозиции[[#This Row],[orderNum]],ТабЗаказы[#Data],MATCH(E$7,ТабЗаказы[#Headers],0),0),"")</f>
        <v/>
      </c>
      <c r="F535" s="16" t="s">
        <v>1040</v>
      </c>
      <c r="G535" s="40" t="s">
        <v>545</v>
      </c>
      <c r="I535" s="18">
        <v>45469</v>
      </c>
      <c r="J535" s="10">
        <v>1</v>
      </c>
      <c r="K535" s="10">
        <v>653</v>
      </c>
      <c r="L535">
        <v>653</v>
      </c>
      <c r="M535" s="10">
        <v>688</v>
      </c>
      <c r="N535">
        <f t="shared" si="9"/>
        <v>688</v>
      </c>
      <c r="P5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Row],[orderNum]],ТабПозиции[orderSumm])&gt;1500),ABS(N535*VLOOKUP(ТабПозиции[[#This Row],[orderNum]],ТабЗаказы[#Data],MATCH("Percent",ТабЗаказы[#Headers],0),0))/100,200/COUNTIF(ТабПозиции[orderNum],ТабПозиции[[#This Row],[orderNum]])),0),"")</f>
        <v>103</v>
      </c>
      <c r="Q535">
        <f>IF(OR(ТабПозиции[[#This Row],[item]]="По штрихкоду",ТабПозиции[[#This Row],[item]]="Посылка"),ТабПозиции[[#This Row],[deliverySumm]]+ТабПозиции[[#This Row],[deliveryPost]],SUM(N535:P535))</f>
        <v>791</v>
      </c>
      <c r="R535" s="41">
        <v>791</v>
      </c>
      <c r="S535" s="46">
        <f>ТабПозиции[[#This Row],[totalSumm]]-ТабПозиции[[#This Row],[payment]]</f>
        <v>0</v>
      </c>
      <c r="T535" s="18" t="s">
        <v>970</v>
      </c>
      <c r="U535" s="40" t="s">
        <v>545</v>
      </c>
      <c r="V535" s="40" t="s">
        <v>545</v>
      </c>
      <c r="W535" s="40" t="s">
        <v>545</v>
      </c>
      <c r="X535" s="3"/>
      <c r="Y535"/>
    </row>
    <row r="536" spans="1:25" hidden="1" x14ac:dyDescent="0.25">
      <c r="A536" s="10">
        <v>146</v>
      </c>
      <c r="B536" s="1">
        <f>IFERROR(VLOOKUP(ТабПозиции[[#This Row],[orderNum]],ТабЗаказы[#Data],MATCH(B$7,ТабЗаказы[#Headers],0),0),"")</f>
        <v>45467</v>
      </c>
      <c r="C536" t="str">
        <f>MONTH(ТабПозиции[[#This Row],[date]])&amp;"/"&amp;YEAR(ТабПозиции[[#This Row],[date]])</f>
        <v>6/2024</v>
      </c>
      <c r="D536" s="1" t="str">
        <f>IFERROR(VLOOKUP(ТабПозиции[[#This Row],[orderNum]],ТабЗаказы[#Data],MATCH(D$7,ТабЗаказы[#Headers],0),0),"")</f>
        <v/>
      </c>
      <c r="E536" s="1" t="str">
        <f>IFERROR(VLOOKUP(ТабПозиции[[#This Row],[orderNum]],ТабЗаказы[#Data],MATCH(E$7,ТабЗаказы[#Headers],0),0),"")</f>
        <v/>
      </c>
      <c r="F536" s="16" t="s">
        <v>1041</v>
      </c>
      <c r="G536" s="40" t="s">
        <v>545</v>
      </c>
      <c r="I536" s="18">
        <v>45469</v>
      </c>
      <c r="J536" s="10">
        <v>1</v>
      </c>
      <c r="K536" s="10">
        <v>1150</v>
      </c>
      <c r="L536">
        <v>1150</v>
      </c>
      <c r="M536" s="10">
        <v>1211</v>
      </c>
      <c r="N536">
        <f t="shared" si="9"/>
        <v>1211</v>
      </c>
      <c r="P5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Row],[orderNum]],ТабПозиции[orderSumm])&gt;1500),ABS(N536*VLOOKUP(ТабПозиции[[#This Row],[orderNum]],ТабЗаказы[#Data],MATCH("Percent",ТабЗаказы[#Headers],0),0))/100,200/COUNTIF(ТабПозиции[orderNum],ТабПозиции[[#This Row],[orderNum]])),0),"")</f>
        <v>182</v>
      </c>
      <c r="Q536">
        <f>IF(OR(ТабПозиции[[#This Row],[item]]="По штрихкоду",ТабПозиции[[#This Row],[item]]="Посылка"),ТабПозиции[[#This Row],[deliverySumm]]+ТабПозиции[[#This Row],[deliveryPost]],SUM(N536:P536))</f>
        <v>1393</v>
      </c>
      <c r="R536" s="41">
        <v>1393</v>
      </c>
      <c r="S536" s="46">
        <f>ТабПозиции[[#This Row],[totalSumm]]-ТабПозиции[[#This Row],[payment]]</f>
        <v>0</v>
      </c>
      <c r="T536" s="18" t="s">
        <v>970</v>
      </c>
      <c r="U536" s="40" t="s">
        <v>545</v>
      </c>
      <c r="V536" s="40" t="s">
        <v>545</v>
      </c>
      <c r="W536" s="40" t="s">
        <v>545</v>
      </c>
      <c r="X536" s="3"/>
      <c r="Y536"/>
    </row>
    <row r="537" spans="1:25" hidden="1" x14ac:dyDescent="0.25">
      <c r="A537" s="10">
        <v>146</v>
      </c>
      <c r="B537" s="1">
        <f>IFERROR(VLOOKUP(ТабПозиции[[#This Row],[orderNum]],ТабЗаказы[#Data],MATCH(B$7,ТабЗаказы[#Headers],0),0),"")</f>
        <v>45467</v>
      </c>
      <c r="C537" t="str">
        <f>MONTH(ТабПозиции[[#This Row],[date]])&amp;"/"&amp;YEAR(ТабПозиции[[#This Row],[date]])</f>
        <v>6/2024</v>
      </c>
      <c r="D537" s="1" t="str">
        <f>IFERROR(VLOOKUP(ТабПозиции[[#This Row],[orderNum]],ТабЗаказы[#Data],MATCH(D$7,ТабЗаказы[#Headers],0),0),"")</f>
        <v/>
      </c>
      <c r="E537" s="1" t="str">
        <f>IFERROR(VLOOKUP(ТабПозиции[[#This Row],[orderNum]],ТабЗаказы[#Data],MATCH(E$7,ТабЗаказы[#Headers],0),0),"")</f>
        <v/>
      </c>
      <c r="F537" s="16" t="s">
        <v>1042</v>
      </c>
      <c r="G537" s="40" t="s">
        <v>545</v>
      </c>
      <c r="I537" s="18">
        <v>45469</v>
      </c>
      <c r="J537" s="10">
        <v>1</v>
      </c>
      <c r="K537" s="10">
        <v>1892</v>
      </c>
      <c r="L537">
        <v>1892</v>
      </c>
      <c r="M537" s="10">
        <v>1992</v>
      </c>
      <c r="N537">
        <f t="shared" si="9"/>
        <v>1992</v>
      </c>
      <c r="P5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Row],[orderNum]],ТабПозиции[orderSumm])&gt;1500),ABS(N537*VLOOKUP(ТабПозиции[[#This Row],[orderNum]],ТабЗаказы[#Data],MATCH("Percent",ТабЗаказы[#Headers],0),0))/100,200/COUNTIF(ТабПозиции[orderNum],ТабПозиции[[#This Row],[orderNum]])),0),"")</f>
        <v>299</v>
      </c>
      <c r="Q537">
        <f>IF(OR(ТабПозиции[[#This Row],[item]]="По штрихкоду",ТабПозиции[[#This Row],[item]]="Посылка"),ТабПозиции[[#This Row],[deliverySumm]]+ТабПозиции[[#This Row],[deliveryPost]],SUM(N537:P537))</f>
        <v>2291</v>
      </c>
      <c r="R537" s="41">
        <v>2291</v>
      </c>
      <c r="S537" s="46">
        <f>ТабПозиции[[#This Row],[totalSumm]]-ТабПозиции[[#This Row],[payment]]</f>
        <v>0</v>
      </c>
      <c r="T537" s="18" t="s">
        <v>970</v>
      </c>
      <c r="U537" s="40" t="s">
        <v>545</v>
      </c>
      <c r="V537" s="40" t="s">
        <v>545</v>
      </c>
      <c r="W537" s="40" t="s">
        <v>545</v>
      </c>
      <c r="X537" s="3"/>
      <c r="Y537"/>
    </row>
    <row r="538" spans="1:25" hidden="1" x14ac:dyDescent="0.25">
      <c r="A538" s="10">
        <v>147</v>
      </c>
      <c r="B538" s="1">
        <f>IFERROR(VLOOKUP(ТабПозиции[[#This Row],[orderNum]],ТабЗаказы[#Data],MATCH(B$7,ТабЗаказы[#Headers],0),0),"")</f>
        <v>45469</v>
      </c>
      <c r="C538" t="str">
        <f>MONTH(ТабПозиции[[#This Row],[date]])&amp;"/"&amp;YEAR(ТабПозиции[[#This Row],[date]])</f>
        <v>6/2024</v>
      </c>
      <c r="D538" s="1" t="str">
        <f>IFERROR(VLOOKUP(ТабПозиции[[#This Row],[orderNum]],ТабЗаказы[#Data],MATCH(D$7,ТабЗаказы[#Headers],0),0),"")</f>
        <v/>
      </c>
      <c r="E538" s="1" t="str">
        <f>IFERROR(VLOOKUP(ТабПозиции[[#This Row],[orderNum]],ТабЗаказы[#Data],MATCH(E$7,ТабЗаказы[#Headers],0),0),"")</f>
        <v/>
      </c>
      <c r="F538" s="16" t="s">
        <v>1043</v>
      </c>
      <c r="G538" s="40" t="s">
        <v>545</v>
      </c>
      <c r="I538" s="18">
        <v>45492</v>
      </c>
      <c r="J538" s="10">
        <v>1</v>
      </c>
      <c r="K538" s="10">
        <v>2070</v>
      </c>
      <c r="L538">
        <v>2070</v>
      </c>
      <c r="M538" s="10">
        <v>2160</v>
      </c>
      <c r="N538">
        <f t="shared" si="9"/>
        <v>2160</v>
      </c>
      <c r="P5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Row],[orderNum]],ТабПозиции[orderSumm])&gt;1500),ABS(N538*VLOOKUP(ТабПозиции[[#This Row],[orderNum]],ТабЗаказы[#Data],MATCH("Percent",ТабЗаказы[#Headers],0),0))/100,200/COUNTIF(ТабПозиции[orderNum],ТабПозиции[[#This Row],[orderNum]])),0),"")</f>
        <v>324</v>
      </c>
      <c r="Q538">
        <f>IF(OR(ТабПозиции[[#This Row],[item]]="По штрихкоду",ТабПозиции[[#This Row],[item]]="Посылка"),ТабПозиции[[#This Row],[deliverySumm]]+ТабПозиции[[#This Row],[deliveryPost]],SUM(N538:P538))</f>
        <v>2484</v>
      </c>
      <c r="R538" s="41">
        <v>2484</v>
      </c>
      <c r="S538" s="46">
        <f>ТабПозиции[[#This Row],[totalSumm]]-ТабПозиции[[#This Row],[payment]]</f>
        <v>0</v>
      </c>
      <c r="T538" s="18" t="s">
        <v>960</v>
      </c>
      <c r="U538" s="40" t="s">
        <v>545</v>
      </c>
      <c r="V538" s="40" t="s">
        <v>552</v>
      </c>
      <c r="W538" s="40" t="s">
        <v>545</v>
      </c>
      <c r="X538" s="3"/>
      <c r="Y538"/>
    </row>
    <row r="539" spans="1:25" hidden="1" x14ac:dyDescent="0.25">
      <c r="A539" s="10">
        <v>147</v>
      </c>
      <c r="B539" s="1">
        <f>IFERROR(VLOOKUP(ТабПозиции[[#This Row],[orderNum]],ТабЗаказы[#Data],MATCH(B$7,ТабЗаказы[#Headers],0),0),"")</f>
        <v>45469</v>
      </c>
      <c r="C539" t="str">
        <f>MONTH(ТабПозиции[[#This Row],[date]])&amp;"/"&amp;YEAR(ТабПозиции[[#This Row],[date]])</f>
        <v>6/2024</v>
      </c>
      <c r="D539" s="1" t="str">
        <f>IFERROR(VLOOKUP(ТабПозиции[[#This Row],[orderNum]],ТабЗаказы[#Data],MATCH(D$7,ТабЗаказы[#Headers],0),0),"")</f>
        <v/>
      </c>
      <c r="E539" s="1" t="str">
        <f>IFERROR(VLOOKUP(ТабПозиции[[#This Row],[orderNum]],ТабЗаказы[#Data],MATCH(E$7,ТабЗаказы[#Headers],0),0),"")</f>
        <v/>
      </c>
      <c r="F539" s="16" t="s">
        <v>1044</v>
      </c>
      <c r="G539" s="40" t="s">
        <v>545</v>
      </c>
      <c r="I539" s="18">
        <v>45470</v>
      </c>
      <c r="J539" s="10">
        <v>1</v>
      </c>
      <c r="K539" s="10">
        <v>2961</v>
      </c>
      <c r="L539">
        <v>2961</v>
      </c>
      <c r="M539" s="10">
        <v>3220</v>
      </c>
      <c r="N539">
        <f t="shared" si="9"/>
        <v>3220</v>
      </c>
      <c r="P5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Row],[orderNum]],ТабПозиции[orderSumm])&gt;1500),ABS(N539*VLOOKUP(ТабПозиции[[#This Row],[orderNum]],ТабЗаказы[#Data],MATCH("Percent",ТабЗаказы[#Headers],0),0))/100,200/COUNTIF(ТабПозиции[orderNum],ТабПозиции[[#This Row],[orderNum]])),0),"")</f>
        <v>483</v>
      </c>
      <c r="Q539">
        <f>IF(OR(ТабПозиции[[#This Row],[item]]="По штрихкоду",ТабПозиции[[#This Row],[item]]="Посылка"),ТабПозиции[[#This Row],[deliverySumm]]+ТабПозиции[[#This Row],[deliveryPost]],SUM(N539:P539))</f>
        <v>3703</v>
      </c>
      <c r="R539" s="41">
        <v>3703</v>
      </c>
      <c r="S539" s="46">
        <f>ТабПозиции[[#This Row],[totalSumm]]-ТабПозиции[[#This Row],[payment]]</f>
        <v>0</v>
      </c>
      <c r="T539" s="18" t="s">
        <v>960</v>
      </c>
      <c r="U539" s="40" t="s">
        <v>545</v>
      </c>
      <c r="V539" s="40" t="s">
        <v>545</v>
      </c>
      <c r="W539" s="40" t="s">
        <v>545</v>
      </c>
      <c r="X539" s="3"/>
      <c r="Y539"/>
    </row>
    <row r="540" spans="1:25" hidden="1" x14ac:dyDescent="0.25">
      <c r="A540" s="10">
        <v>147</v>
      </c>
      <c r="B540" s="1">
        <f>IFERROR(VLOOKUP(ТабПозиции[[#This Row],[orderNum]],ТабЗаказы[#Data],MATCH(B$7,ТабЗаказы[#Headers],0),0),"")</f>
        <v>45469</v>
      </c>
      <c r="C540" t="str">
        <f>MONTH(ТабПозиции[[#This Row],[date]])&amp;"/"&amp;YEAR(ТабПозиции[[#This Row],[date]])</f>
        <v>6/2024</v>
      </c>
      <c r="D540" s="1" t="str">
        <f>IFERROR(VLOOKUP(ТабПозиции[[#This Row],[orderNum]],ТабЗаказы[#Data],MATCH(D$7,ТабЗаказы[#Headers],0),0),"")</f>
        <v/>
      </c>
      <c r="E540" s="1" t="str">
        <f>IFERROR(VLOOKUP(ТабПозиции[[#This Row],[orderNum]],ТабЗаказы[#Data],MATCH(E$7,ТабЗаказы[#Headers],0),0),"")</f>
        <v/>
      </c>
      <c r="F540" s="16" t="s">
        <v>910</v>
      </c>
      <c r="G540" s="40" t="s">
        <v>545</v>
      </c>
      <c r="I540" s="18">
        <v>45471</v>
      </c>
      <c r="J540" s="10">
        <v>1</v>
      </c>
      <c r="K540" s="10">
        <v>981</v>
      </c>
      <c r="L540">
        <v>981</v>
      </c>
      <c r="M540" s="10">
        <v>1085</v>
      </c>
      <c r="N540">
        <f t="shared" si="9"/>
        <v>1085</v>
      </c>
      <c r="P5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Row],[orderNum]],ТабПозиции[orderSumm])&gt;1500),ABS(N540*VLOOKUP(ТабПозиции[[#This Row],[orderNum]],ТабЗаказы[#Data],MATCH("Percent",ТабЗаказы[#Headers],0),0))/100,200/COUNTIF(ТабПозиции[orderNum],ТабПозиции[[#This Row],[orderNum]])),0),"")</f>
        <v>163</v>
      </c>
      <c r="Q540">
        <f>IF(OR(ТабПозиции[[#This Row],[item]]="По штрихкоду",ТабПозиции[[#This Row],[item]]="Посылка"),ТабПозиции[[#This Row],[deliverySumm]]+ТабПозиции[[#This Row],[deliveryPost]],SUM(N540:P540))</f>
        <v>1248</v>
      </c>
      <c r="R540" s="41">
        <v>1248</v>
      </c>
      <c r="S540" s="46">
        <f>ТабПозиции[[#This Row],[totalSumm]]-ТабПозиции[[#This Row],[payment]]</f>
        <v>0</v>
      </c>
      <c r="T540" s="18" t="s">
        <v>960</v>
      </c>
      <c r="U540" s="40" t="s">
        <v>545</v>
      </c>
      <c r="V540" s="40" t="s">
        <v>545</v>
      </c>
      <c r="W540" s="40" t="s">
        <v>545</v>
      </c>
      <c r="X540" s="3"/>
      <c r="Y540"/>
    </row>
    <row r="541" spans="1:25" hidden="1" x14ac:dyDescent="0.25">
      <c r="A541" s="10">
        <v>147</v>
      </c>
      <c r="B541" s="1">
        <f>IFERROR(VLOOKUP(ТабПозиции[[#This Row],[orderNum]],ТабЗаказы[#Data],MATCH(B$7,ТабЗаказы[#Headers],0),0),"")</f>
        <v>45469</v>
      </c>
      <c r="C541" t="str">
        <f>MONTH(ТабПозиции[[#This Row],[date]])&amp;"/"&amp;YEAR(ТабПозиции[[#This Row],[date]])</f>
        <v>6/2024</v>
      </c>
      <c r="D541" s="1" t="str">
        <f>IFERROR(VLOOKUP(ТабПозиции[[#This Row],[orderNum]],ТабЗаказы[#Data],MATCH(D$7,ТабЗаказы[#Headers],0),0),"")</f>
        <v/>
      </c>
      <c r="E541" s="1" t="str">
        <f>IFERROR(VLOOKUP(ТабПозиции[[#This Row],[orderNum]],ТабЗаказы[#Data],MATCH(E$7,ТабЗаказы[#Headers],0),0),"")</f>
        <v/>
      </c>
      <c r="F541" s="16" t="s">
        <v>1045</v>
      </c>
      <c r="G541" s="40" t="s">
        <v>545</v>
      </c>
      <c r="I541" s="18">
        <v>45472</v>
      </c>
      <c r="J541" s="10">
        <v>1</v>
      </c>
      <c r="K541" s="10">
        <v>280</v>
      </c>
      <c r="L541">
        <v>280</v>
      </c>
      <c r="M541" s="10">
        <v>295</v>
      </c>
      <c r="N541">
        <f t="shared" si="9"/>
        <v>295</v>
      </c>
      <c r="P5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Row],[orderNum]],ТабПозиции[orderSumm])&gt;1500),ABS(N541*VLOOKUP(ТабПозиции[[#This Row],[orderNum]],ТабЗаказы[#Data],MATCH("Percent",ТабЗаказы[#Headers],0),0))/100,200/COUNTIF(ТабПозиции[orderNum],ТабПозиции[[#This Row],[orderNum]])),0),"")</f>
        <v>44</v>
      </c>
      <c r="Q541">
        <f>IF(OR(ТабПозиции[[#This Row],[item]]="По штрихкоду",ТабПозиции[[#This Row],[item]]="Посылка"),ТабПозиции[[#This Row],[deliverySumm]]+ТабПозиции[[#This Row],[deliveryPost]],SUM(N541:P541))</f>
        <v>339</v>
      </c>
      <c r="R541" s="41">
        <v>339</v>
      </c>
      <c r="S541" s="46">
        <f>ТабПозиции[[#This Row],[totalSumm]]-ТабПозиции[[#This Row],[payment]]</f>
        <v>0</v>
      </c>
      <c r="T541" s="18" t="s">
        <v>970</v>
      </c>
      <c r="U541" s="40" t="s">
        <v>545</v>
      </c>
      <c r="V541" s="40" t="s">
        <v>545</v>
      </c>
      <c r="W541" s="40" t="s">
        <v>545</v>
      </c>
      <c r="X541" s="3"/>
      <c r="Y541"/>
    </row>
    <row r="542" spans="1:25" hidden="1" x14ac:dyDescent="0.25">
      <c r="A542" s="10">
        <v>147</v>
      </c>
      <c r="B542" s="1">
        <f>IFERROR(VLOOKUP(ТабПозиции[[#This Row],[orderNum]],ТабЗаказы[#Data],MATCH(B$7,ТабЗаказы[#Headers],0),0),"")</f>
        <v>45469</v>
      </c>
      <c r="C542" t="str">
        <f>MONTH(ТабПозиции[[#This Row],[date]])&amp;"/"&amp;YEAR(ТабПозиции[[#This Row],[date]])</f>
        <v>6/2024</v>
      </c>
      <c r="D542" s="1" t="str">
        <f>IFERROR(VLOOKUP(ТабПозиции[[#This Row],[orderNum]],ТабЗаказы[#Data],MATCH(D$7,ТабЗаказы[#Headers],0),0),"")</f>
        <v/>
      </c>
      <c r="E542" s="1" t="str">
        <f>IFERROR(VLOOKUP(ТабПозиции[[#This Row],[orderNum]],ТабЗаказы[#Data],MATCH(E$7,ТабЗаказы[#Headers],0),0),"")</f>
        <v/>
      </c>
      <c r="F542" s="16" t="s">
        <v>1046</v>
      </c>
      <c r="G542" s="40" t="s">
        <v>545</v>
      </c>
      <c r="I542" s="18">
        <v>45471</v>
      </c>
      <c r="J542" s="10">
        <v>2</v>
      </c>
      <c r="K542" s="10">
        <v>191</v>
      </c>
      <c r="L542">
        <v>382</v>
      </c>
      <c r="M542" s="10">
        <v>195</v>
      </c>
      <c r="N542">
        <f t="shared" si="9"/>
        <v>390</v>
      </c>
      <c r="P5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Row],[orderNum]],ТабПозиции[orderSumm])&gt;1500),ABS(N542*VLOOKUP(ТабПозиции[[#This Row],[orderNum]],ТабЗаказы[#Data],MATCH("Percent",ТабЗаказы[#Headers],0),0))/100,200/COUNTIF(ТабПозиции[orderNum],ТабПозиции[[#This Row],[orderNum]])),0),"")</f>
        <v>59</v>
      </c>
      <c r="Q542">
        <f>IF(OR(ТабПозиции[[#This Row],[item]]="По штрихкоду",ТабПозиции[[#This Row],[item]]="Посылка"),ТабПозиции[[#This Row],[deliverySumm]]+ТабПозиции[[#This Row],[deliveryPost]],SUM(N542:P542))</f>
        <v>449</v>
      </c>
      <c r="R542" s="41">
        <v>449</v>
      </c>
      <c r="S542" s="46">
        <f>ТабПозиции[[#This Row],[totalSumm]]-ТабПозиции[[#This Row],[payment]]</f>
        <v>0</v>
      </c>
      <c r="T542" s="18" t="s">
        <v>960</v>
      </c>
      <c r="U542" s="40" t="s">
        <v>545</v>
      </c>
      <c r="V542" s="40" t="s">
        <v>545</v>
      </c>
      <c r="W542" s="40" t="s">
        <v>545</v>
      </c>
      <c r="X542" s="3"/>
      <c r="Y542"/>
    </row>
    <row r="543" spans="1:25" hidden="1" x14ac:dyDescent="0.25">
      <c r="A543" s="10">
        <v>147</v>
      </c>
      <c r="B543" s="1">
        <f>IFERROR(VLOOKUP(ТабПозиции[[#This Row],[orderNum]],ТабЗаказы[#Data],MATCH(B$7,ТабЗаказы[#Headers],0),0),"")</f>
        <v>45469</v>
      </c>
      <c r="C543" t="str">
        <f>MONTH(ТабПозиции[[#This Row],[date]])&amp;"/"&amp;YEAR(ТабПозиции[[#This Row],[date]])</f>
        <v>6/2024</v>
      </c>
      <c r="D543" s="1" t="str">
        <f>IFERROR(VLOOKUP(ТабПозиции[[#This Row],[orderNum]],ТабЗаказы[#Data],MATCH(D$7,ТабЗаказы[#Headers],0),0),"")</f>
        <v/>
      </c>
      <c r="E543" s="1" t="str">
        <f>IFERROR(VLOOKUP(ТабПозиции[[#This Row],[orderNum]],ТабЗаказы[#Data],MATCH(E$7,ТабЗаказы[#Headers],0),0),"")</f>
        <v/>
      </c>
      <c r="F543" s="16" t="s">
        <v>1046</v>
      </c>
      <c r="G543" s="40" t="s">
        <v>545</v>
      </c>
      <c r="I543" s="18">
        <v>45471</v>
      </c>
      <c r="J543" s="10">
        <v>1</v>
      </c>
      <c r="K543" s="10">
        <v>191</v>
      </c>
      <c r="L543">
        <v>191</v>
      </c>
      <c r="M543" s="10">
        <v>195</v>
      </c>
      <c r="N543">
        <f t="shared" si="9"/>
        <v>195</v>
      </c>
      <c r="P5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Row],[orderNum]],ТабПозиции[orderSumm])&gt;1500),ABS(N543*VLOOKUP(ТабПозиции[[#This Row],[orderNum]],ТабЗаказы[#Data],MATCH("Percent",ТабЗаказы[#Headers],0),0))/100,200/COUNTIF(ТабПозиции[orderNum],ТабПозиции[[#This Row],[orderNum]])),0),"")</f>
        <v>29</v>
      </c>
      <c r="Q543">
        <f>IF(OR(ТабПозиции[[#This Row],[item]]="По штрихкоду",ТабПозиции[[#This Row],[item]]="Посылка"),ТабПозиции[[#This Row],[deliverySumm]]+ТабПозиции[[#This Row],[deliveryPost]],SUM(N543:P543))</f>
        <v>224</v>
      </c>
      <c r="R543" s="41">
        <v>224</v>
      </c>
      <c r="S543" s="46">
        <f>ТабПозиции[[#This Row],[totalSumm]]-ТабПозиции[[#This Row],[payment]]</f>
        <v>0</v>
      </c>
      <c r="T543" s="18" t="s">
        <v>960</v>
      </c>
      <c r="U543" s="40" t="s">
        <v>545</v>
      </c>
      <c r="V543" s="40" t="s">
        <v>545</v>
      </c>
      <c r="W543" s="40" t="s">
        <v>545</v>
      </c>
      <c r="X543" s="3"/>
      <c r="Y543"/>
    </row>
    <row r="544" spans="1:25" hidden="1" x14ac:dyDescent="0.25">
      <c r="A544" s="10">
        <v>148</v>
      </c>
      <c r="B544" s="1">
        <f>IFERROR(VLOOKUP(ТабПозиции[[#This Row],[orderNum]],ТабЗаказы[#Data],MATCH(B$7,ТабЗаказы[#Headers],0),0),"")</f>
        <v>45470</v>
      </c>
      <c r="C544" t="str">
        <f>MONTH(ТабПозиции[[#This Row],[date]])&amp;"/"&amp;YEAR(ТабПозиции[[#This Row],[date]])</f>
        <v>6/2024</v>
      </c>
      <c r="D544" s="1" t="str">
        <f>IFERROR(VLOOKUP(ТабПозиции[[#This Row],[orderNum]],ТабЗаказы[#Data],MATCH(D$7,ТабЗаказы[#Headers],0),0),"")</f>
        <v/>
      </c>
      <c r="E544" s="1" t="str">
        <f>IFERROR(VLOOKUP(ТабПозиции[[#This Row],[orderNum]],ТабЗаказы[#Data],MATCH(E$7,ТабЗаказы[#Headers],0),0),"")</f>
        <v/>
      </c>
      <c r="F544" s="16" t="s">
        <v>1047</v>
      </c>
      <c r="G544" s="40" t="s">
        <v>545</v>
      </c>
      <c r="I544" s="18">
        <v>45476</v>
      </c>
      <c r="J544" s="10">
        <v>1</v>
      </c>
      <c r="K544" s="10">
        <v>1100</v>
      </c>
      <c r="L544">
        <v>1100</v>
      </c>
      <c r="M544" s="10">
        <v>1253</v>
      </c>
      <c r="N544">
        <f t="shared" si="9"/>
        <v>1253</v>
      </c>
      <c r="P5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Row],[orderNum]],ТабПозиции[orderSumm])&gt;1500),ABS(N544*VLOOKUP(ТабПозиции[[#This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544">
        <f>IF(OR(ТабПозиции[[#This Row],[item]]="По штрихкоду",ТабПозиции[[#This Row],[item]]="Посылка"),ТабПозиции[[#This Row],[deliverySumm]]+ТабПозиции[[#This Row],[deliveryPost]],SUM(N544:P544))</f>
        <v>1453</v>
      </c>
      <c r="R544" s="41">
        <v>1453</v>
      </c>
      <c r="S544" s="46">
        <f>ТабПозиции[[#This Row],[totalSumm]]-ТабПозиции[[#This Row],[payment]]</f>
        <v>0</v>
      </c>
      <c r="T544" s="18" t="s">
        <v>960</v>
      </c>
      <c r="U544" s="40" t="s">
        <v>545</v>
      </c>
      <c r="V544" s="40" t="s">
        <v>545</v>
      </c>
      <c r="W544" s="40" t="s">
        <v>545</v>
      </c>
      <c r="X544" s="3"/>
      <c r="Y544"/>
    </row>
    <row r="545" spans="1:25" hidden="1" x14ac:dyDescent="0.25">
      <c r="A545" s="10">
        <v>149</v>
      </c>
      <c r="B545" s="1">
        <f>IFERROR(VLOOKUP(ТабПозиции[[#This Row],[orderNum]],ТабЗаказы[#Data],MATCH(B$7,ТабЗаказы[#Headers],0),0),"")</f>
        <v>45469</v>
      </c>
      <c r="C545" t="str">
        <f>MONTH(ТабПозиции[[#This Row],[date]])&amp;"/"&amp;YEAR(ТабПозиции[[#This Row],[date]])</f>
        <v>6/2024</v>
      </c>
      <c r="D545" s="1" t="str">
        <f>IFERROR(VLOOKUP(ТабПозиции[[#This Row],[orderNum]],ТабЗаказы[#Data],MATCH(D$7,ТабЗаказы[#Headers],0),0),"")</f>
        <v/>
      </c>
      <c r="E545" s="1" t="str">
        <f>IFERROR(VLOOKUP(ТабПозиции[[#This Row],[orderNum]],ТабЗаказы[#Data],MATCH(E$7,ТабЗаказы[#Headers],0),0),"")</f>
        <v/>
      </c>
      <c r="F545" s="16" t="s">
        <v>1048</v>
      </c>
      <c r="G545" s="40" t="s">
        <v>545</v>
      </c>
      <c r="I545" s="18">
        <v>45471</v>
      </c>
      <c r="J545" s="10">
        <v>1</v>
      </c>
      <c r="K545" s="10">
        <v>7937</v>
      </c>
      <c r="L545">
        <v>7937</v>
      </c>
      <c r="M545" s="10">
        <v>8671</v>
      </c>
      <c r="N545">
        <f t="shared" ref="N545:N608" si="10">M545*J545</f>
        <v>8671</v>
      </c>
      <c r="O545" s="10">
        <v>200</v>
      </c>
      <c r="P5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Row],[orderNum]],ТабПозиции[orderSumm])&gt;1500),ABS(N545*VLOOKUP(ТабПозиции[[#This Row],[orderNum]],ТабЗаказы[#Data],MATCH("Percent",ТабЗаказы[#Headers],0),0))/100,200/COUNTIF(ТабПозиции[orderNum],ТабПозиции[[#This Row],[orderNum]])),0),"")</f>
        <v>1301</v>
      </c>
      <c r="Q545">
        <f>IF(OR(ТабПозиции[[#This Row],[item]]="По штрихкоду",ТабПозиции[[#This Row],[item]]="Посылка"),ТабПозиции[[#This Row],[deliverySumm]]+ТабПозиции[[#This Row],[deliveryPost]],SUM(N545:P545))</f>
        <v>10172</v>
      </c>
      <c r="R545" s="41">
        <v>10172</v>
      </c>
      <c r="S545" s="46">
        <f>ТабПозиции[[#This Row],[totalSumm]]-ТабПозиции[[#This Row],[payment]]</f>
        <v>0</v>
      </c>
      <c r="T545" s="18" t="s">
        <v>960</v>
      </c>
      <c r="U545" s="40" t="s">
        <v>545</v>
      </c>
      <c r="V545" s="40" t="s">
        <v>545</v>
      </c>
      <c r="W545" s="40" t="s">
        <v>545</v>
      </c>
      <c r="X545" s="3"/>
      <c r="Y545"/>
    </row>
    <row r="546" spans="1:25" hidden="1" x14ac:dyDescent="0.25">
      <c r="A546" s="10">
        <v>150</v>
      </c>
      <c r="B546" s="1">
        <f>IFERROR(VLOOKUP(ТабПозиции[[#This Row],[orderNum]],ТабЗаказы[#Data],MATCH(B$7,ТабЗаказы[#Headers],0),0),"")</f>
        <v>45471</v>
      </c>
      <c r="C546" t="str">
        <f>MONTH(ТабПозиции[[#This Row],[date]])&amp;"/"&amp;YEAR(ТабПозиции[[#This Row],[date]])</f>
        <v>6/2024</v>
      </c>
      <c r="D546" s="1" t="str">
        <f>IFERROR(VLOOKUP(ТабПозиции[[#This Row],[orderNum]],ТабЗаказы[#Data],MATCH(D$7,ТабЗаказы[#Headers],0),0),"")</f>
        <v/>
      </c>
      <c r="E546" s="1" t="str">
        <f>IFERROR(VLOOKUP(ТабПозиции[[#This Row],[orderNum]],ТабЗаказы[#Data],MATCH(E$7,ТабЗаказы[#Headers],0),0),"")</f>
        <v/>
      </c>
      <c r="F546" s="10" t="s">
        <v>32</v>
      </c>
      <c r="G546" s="40" t="s">
        <v>545</v>
      </c>
      <c r="I546" s="18">
        <v>45471</v>
      </c>
      <c r="J546" s="10">
        <v>1</v>
      </c>
      <c r="K546" s="10">
        <v>9015</v>
      </c>
      <c r="L546">
        <v>9015</v>
      </c>
      <c r="M546" s="10">
        <v>9015</v>
      </c>
      <c r="N546">
        <f t="shared" si="10"/>
        <v>9015</v>
      </c>
      <c r="O546" s="10">
        <v>200</v>
      </c>
      <c r="P5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Row],[orderNum]],ТабПозиции[orderSumm])&gt;1500),ABS(N546*VLOOKUP(ТабПозиции[[#This Row],[orderNum]],ТабЗаказы[#Data],MATCH("Percent",ТабЗаказы[#Headers],0),0))/100,200/COUNTIF(ТабПозиции[orderNum],ТабПозиции[[#This Row],[orderNum]])),0),"")</f>
        <v>1352</v>
      </c>
      <c r="Q546">
        <f>IF(OR(ТабПозиции[[#This Row],[item]]="По штрихкоду",ТабПозиции[[#This Row],[item]]="Посылка"),ТабПозиции[[#This Row],[deliverySumm]]+ТабПозиции[[#This Row],[deliveryPost]],SUM(N546:P546))</f>
        <v>1552</v>
      </c>
      <c r="R546" s="41">
        <v>1552</v>
      </c>
      <c r="S546" s="46">
        <f>ТабПозиции[[#This Row],[totalSumm]]-ТабПозиции[[#This Row],[payment]]</f>
        <v>0</v>
      </c>
      <c r="T546" s="18" t="s">
        <v>960</v>
      </c>
      <c r="U546" s="40" t="s">
        <v>545</v>
      </c>
      <c r="V546" s="40" t="s">
        <v>545</v>
      </c>
      <c r="W546" s="40" t="s">
        <v>545</v>
      </c>
      <c r="X546" s="3"/>
      <c r="Y546"/>
    </row>
    <row r="547" spans="1:25" hidden="1" x14ac:dyDescent="0.25">
      <c r="A547" s="10">
        <v>151</v>
      </c>
      <c r="B547" s="1">
        <f>IFERROR(VLOOKUP(ТабПозиции[[#This Row],[orderNum]],ТабЗаказы[#Data],MATCH(B$7,ТабЗаказы[#Headers],0),0),"")</f>
        <v>45471</v>
      </c>
      <c r="C547" t="str">
        <f>MONTH(ТабПозиции[[#This Row],[date]])&amp;"/"&amp;YEAR(ТабПозиции[[#This Row],[date]])</f>
        <v>6/2024</v>
      </c>
      <c r="D547" s="1" t="str">
        <f>IFERROR(VLOOKUP(ТабПозиции[[#This Row],[orderNum]],ТабЗаказы[#Data],MATCH(D$7,ТабЗаказы[#Headers],0),0),"")</f>
        <v/>
      </c>
      <c r="E547" s="1" t="str">
        <f>IFERROR(VLOOKUP(ТабПозиции[[#This Row],[orderNum]],ТабЗаказы[#Data],MATCH(E$7,ТабЗаказы[#Headers],0),0),"")</f>
        <v/>
      </c>
      <c r="F547" s="10" t="s">
        <v>32</v>
      </c>
      <c r="G547" s="40" t="s">
        <v>545</v>
      </c>
      <c r="I547" s="18">
        <v>45471</v>
      </c>
      <c r="J547" s="10">
        <v>1</v>
      </c>
      <c r="K547" s="10">
        <v>1300</v>
      </c>
      <c r="L547">
        <v>1300</v>
      </c>
      <c r="M547" s="10">
        <v>1300</v>
      </c>
      <c r="N547">
        <f t="shared" si="10"/>
        <v>1300</v>
      </c>
      <c r="P5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Row],[orderNum]],ТабПозиции[orderSumm])&gt;1500),ABS(N547*VLOOKUP(ТабПозиции[[#This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547">
        <f>IF(OR(ТабПозиции[[#This Row],[item]]="По штрихкоду",ТабПозиции[[#This Row],[item]]="Посылка"),ТабПозиции[[#This Row],[deliverySumm]]+ТабПозиции[[#This Row],[deliveryPost]],SUM(N547:P547))</f>
        <v>200</v>
      </c>
      <c r="R547" s="41">
        <v>200</v>
      </c>
      <c r="S547" s="46">
        <f>ТабПозиции[[#This Row],[totalSumm]]-ТабПозиции[[#This Row],[payment]]</f>
        <v>0</v>
      </c>
      <c r="T547" s="18" t="s">
        <v>970</v>
      </c>
      <c r="U547" s="40" t="s">
        <v>545</v>
      </c>
      <c r="V547" s="40" t="s">
        <v>545</v>
      </c>
      <c r="W547" s="40" t="s">
        <v>545</v>
      </c>
      <c r="X547" s="3"/>
      <c r="Y547"/>
    </row>
    <row r="548" spans="1:25" hidden="1" x14ac:dyDescent="0.25">
      <c r="A548" s="10">
        <v>152</v>
      </c>
      <c r="B548" s="1">
        <f>IFERROR(VLOOKUP(ТабПозиции[[#This Row],[orderNum]],ТабЗаказы[#Data],MATCH(B$7,ТабЗаказы[#Headers],0),0),"")</f>
        <v>45472</v>
      </c>
      <c r="C548" t="str">
        <f>MONTH(ТабПозиции[[#This Row],[date]])&amp;"/"&amp;YEAR(ТабПозиции[[#This Row],[date]])</f>
        <v>6/2024</v>
      </c>
      <c r="D548" s="1" t="str">
        <f>IFERROR(VLOOKUP(ТабПозиции[[#This Row],[orderNum]],ТабЗаказы[#Data],MATCH(D$7,ТабЗаказы[#Headers],0),0),"")</f>
        <v/>
      </c>
      <c r="E548" s="1" t="str">
        <f>IFERROR(VLOOKUP(ТабПозиции[[#This Row],[orderNum]],ТабЗаказы[#Data],MATCH(E$7,ТабЗаказы[#Headers],0),0),"")</f>
        <v/>
      </c>
      <c r="F548" s="16" t="s">
        <v>1049</v>
      </c>
      <c r="G548" s="40" t="s">
        <v>545</v>
      </c>
      <c r="I548" s="18">
        <v>45474</v>
      </c>
      <c r="J548" s="10">
        <v>1</v>
      </c>
      <c r="K548" s="10">
        <v>513</v>
      </c>
      <c r="L548">
        <v>513</v>
      </c>
      <c r="M548" s="10">
        <v>540</v>
      </c>
      <c r="N548">
        <f t="shared" si="10"/>
        <v>540</v>
      </c>
      <c r="P5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Row],[orderNum]],ТабПозиции[orderSumm])&gt;1500),ABS(N548*VLOOKUP(ТабПозиции[[#This Row],[orderNum]],ТабЗаказы[#Data],MATCH("Percent",ТабЗаказы[#Headers],0),0))/100,200/COUNTIF(ТабПозиции[orderNum],ТабПозиции[[#This Row],[orderNum]])),0),"")</f>
        <v>81</v>
      </c>
      <c r="Q548">
        <f>IF(OR(ТабПозиции[[#This Row],[item]]="По штрихкоду",ТабПозиции[[#This Row],[item]]="Посылка"),ТабПозиции[[#This Row],[deliverySumm]]+ТабПозиции[[#This Row],[deliveryPost]],SUM(N548:P548))</f>
        <v>621</v>
      </c>
      <c r="R548" s="41">
        <v>621</v>
      </c>
      <c r="S548" s="46">
        <f>ТабПозиции[[#This Row],[totalSumm]]-ТабПозиции[[#This Row],[payment]]</f>
        <v>0</v>
      </c>
      <c r="T548" s="18" t="s">
        <v>970</v>
      </c>
      <c r="U548" s="40" t="s">
        <v>545</v>
      </c>
      <c r="V548" s="40" t="s">
        <v>545</v>
      </c>
      <c r="W548" s="40" t="s">
        <v>545</v>
      </c>
      <c r="X548" s="3"/>
      <c r="Y548"/>
    </row>
    <row r="549" spans="1:25" hidden="1" x14ac:dyDescent="0.25">
      <c r="A549" s="10">
        <v>152</v>
      </c>
      <c r="B549" s="1">
        <f>IFERROR(VLOOKUP(ТабПозиции[[#This Row],[orderNum]],ТабЗаказы[#Data],MATCH(B$7,ТабЗаказы[#Headers],0),0),"")</f>
        <v>45472</v>
      </c>
      <c r="C549" t="str">
        <f>MONTH(ТабПозиции[[#This Row],[date]])&amp;"/"&amp;YEAR(ТабПозиции[[#This Row],[date]])</f>
        <v>6/2024</v>
      </c>
      <c r="D549" s="1" t="str">
        <f>IFERROR(VLOOKUP(ТабПозиции[[#This Row],[orderNum]],ТабЗаказы[#Data],MATCH(D$7,ТабЗаказы[#Headers],0),0),"")</f>
        <v/>
      </c>
      <c r="E549" s="1" t="str">
        <f>IFERROR(VLOOKUP(ТабПозиции[[#This Row],[orderNum]],ТабЗаказы[#Data],MATCH(E$7,ТабЗаказы[#Headers],0),0),"")</f>
        <v/>
      </c>
      <c r="F549" s="16" t="s">
        <v>1050</v>
      </c>
      <c r="G549" s="40" t="s">
        <v>545</v>
      </c>
      <c r="I549" s="18">
        <v>45474</v>
      </c>
      <c r="J549" s="10">
        <v>1</v>
      </c>
      <c r="K549" s="10">
        <v>223</v>
      </c>
      <c r="L549">
        <v>223</v>
      </c>
      <c r="M549" s="10">
        <v>235</v>
      </c>
      <c r="N549">
        <f t="shared" si="10"/>
        <v>235</v>
      </c>
      <c r="P5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Row],[orderNum]],ТабПозиции[orderSumm])&gt;1500),ABS(N549*VLOOKUP(ТабПозиции[[#This Row],[orderNum]],ТабЗаказы[#Data],MATCH("Percent",ТабЗаказы[#Headers],0),0))/100,200/COUNTIF(ТабПозиции[orderNum],ТабПозиции[[#This Row],[orderNum]])),0),"")</f>
        <v>35</v>
      </c>
      <c r="Q549">
        <f>IF(OR(ТабПозиции[[#This Row],[item]]="По штрихкоду",ТабПозиции[[#This Row],[item]]="Посылка"),ТабПозиции[[#This Row],[deliverySumm]]+ТабПозиции[[#This Row],[deliveryPost]],SUM(N549:P549))</f>
        <v>270</v>
      </c>
      <c r="R549" s="41">
        <v>270</v>
      </c>
      <c r="S549" s="46">
        <f>ТабПозиции[[#This Row],[totalSumm]]-ТабПозиции[[#This Row],[payment]]</f>
        <v>0</v>
      </c>
      <c r="T549" s="18" t="s">
        <v>970</v>
      </c>
      <c r="U549" s="40" t="s">
        <v>545</v>
      </c>
      <c r="V549" s="40" t="s">
        <v>545</v>
      </c>
      <c r="W549" s="40" t="s">
        <v>545</v>
      </c>
      <c r="X549" s="3"/>
      <c r="Y549"/>
    </row>
    <row r="550" spans="1:25" hidden="1" x14ac:dyDescent="0.25">
      <c r="A550" s="10">
        <v>152</v>
      </c>
      <c r="B550" s="1">
        <f>IFERROR(VLOOKUP(ТабПозиции[[#This Row],[orderNum]],ТабЗаказы[#Data],MATCH(B$7,ТабЗаказы[#Headers],0),0),"")</f>
        <v>45472</v>
      </c>
      <c r="C550" t="str">
        <f>MONTH(ТабПозиции[[#This Row],[date]])&amp;"/"&amp;YEAR(ТабПозиции[[#This Row],[date]])</f>
        <v>6/2024</v>
      </c>
      <c r="D550" s="1" t="str">
        <f>IFERROR(VLOOKUP(ТабПозиции[[#This Row],[orderNum]],ТабЗаказы[#Data],MATCH(D$7,ТабЗаказы[#Headers],0),0),"")</f>
        <v/>
      </c>
      <c r="E550" s="1" t="str">
        <f>IFERROR(VLOOKUP(ТабПозиции[[#This Row],[orderNum]],ТабЗаказы[#Data],MATCH(E$7,ТабЗаказы[#Headers],0),0),"")</f>
        <v/>
      </c>
      <c r="F550" s="16" t="s">
        <v>1051</v>
      </c>
      <c r="G550" s="40" t="s">
        <v>545</v>
      </c>
      <c r="I550" s="18">
        <v>45474</v>
      </c>
      <c r="J550" s="10">
        <v>1</v>
      </c>
      <c r="K550" s="10">
        <v>1071</v>
      </c>
      <c r="L550">
        <v>1071</v>
      </c>
      <c r="M550" s="10">
        <v>1128</v>
      </c>
      <c r="N550">
        <f t="shared" si="10"/>
        <v>1128</v>
      </c>
      <c r="P5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Row],[orderNum]],ТабПозиции[orderSumm])&gt;1500),ABS(N550*VLOOKUP(ТабПозиции[[#This Row],[orderNum]],ТабЗаказы[#Data],MATCH("Percent",ТабЗаказы[#Headers],0),0))/100,200/COUNTIF(ТабПозиции[orderNum],ТабПозиции[[#This Row],[orderNum]])),0),"")</f>
        <v>169</v>
      </c>
      <c r="Q550">
        <f>IF(OR(ТабПозиции[[#This Row],[item]]="По штрихкоду",ТабПозиции[[#This Row],[item]]="Посылка"),ТабПозиции[[#This Row],[deliverySumm]]+ТабПозиции[[#This Row],[deliveryPost]],SUM(N550:P550))</f>
        <v>1297</v>
      </c>
      <c r="R550" s="41">
        <v>1297</v>
      </c>
      <c r="S550" s="46">
        <f>ТабПозиции[[#This Row],[totalSumm]]-ТабПозиции[[#This Row],[payment]]</f>
        <v>0</v>
      </c>
      <c r="T550" s="18" t="s">
        <v>970</v>
      </c>
      <c r="U550" s="40" t="s">
        <v>545</v>
      </c>
      <c r="V550" s="40" t="s">
        <v>545</v>
      </c>
      <c r="W550" s="40" t="s">
        <v>545</v>
      </c>
      <c r="X550" s="3"/>
      <c r="Y550"/>
    </row>
    <row r="551" spans="1:25" hidden="1" x14ac:dyDescent="0.25">
      <c r="A551" s="10">
        <v>152</v>
      </c>
      <c r="B551" s="1">
        <f>IFERROR(VLOOKUP(ТабПозиции[[#This Row],[orderNum]],ТабЗаказы[#Data],MATCH(B$7,ТабЗаказы[#Headers],0),0),"")</f>
        <v>45472</v>
      </c>
      <c r="C551" t="str">
        <f>MONTH(ТабПозиции[[#This Row],[date]])&amp;"/"&amp;YEAR(ТабПозиции[[#This Row],[date]])</f>
        <v>6/2024</v>
      </c>
      <c r="D551" s="1" t="str">
        <f>IFERROR(VLOOKUP(ТабПозиции[[#This Row],[orderNum]],ТабЗаказы[#Data],MATCH(D$7,ТабЗаказы[#Headers],0),0),"")</f>
        <v/>
      </c>
      <c r="E551" s="1" t="str">
        <f>IFERROR(VLOOKUP(ТабПозиции[[#This Row],[orderNum]],ТабЗаказы[#Data],MATCH(E$7,ТабЗаказы[#Headers],0),0),"")</f>
        <v/>
      </c>
      <c r="F551" s="16" t="s">
        <v>1052</v>
      </c>
      <c r="G551" s="40" t="s">
        <v>545</v>
      </c>
      <c r="I551" s="18">
        <v>45474</v>
      </c>
      <c r="J551" s="10">
        <v>1</v>
      </c>
      <c r="K551" s="10">
        <v>236</v>
      </c>
      <c r="L551">
        <v>236</v>
      </c>
      <c r="M551" s="10">
        <v>249</v>
      </c>
      <c r="N551">
        <f t="shared" si="10"/>
        <v>249</v>
      </c>
      <c r="P5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Row],[orderNum]],ТабПозиции[orderSumm])&gt;1500),ABS(N551*VLOOKUP(ТабПозиции[[#This Row],[orderNum]],ТабЗаказы[#Data],MATCH("Percent",ТабЗаказы[#Headers],0),0))/100,200/COUNTIF(ТабПозиции[orderNum],ТабПозиции[[#This Row],[orderNum]])),0),"")</f>
        <v>37</v>
      </c>
      <c r="Q551">
        <f>IF(OR(ТабПозиции[[#This Row],[item]]="По штрихкоду",ТабПозиции[[#This Row],[item]]="Посылка"),ТабПозиции[[#This Row],[deliverySumm]]+ТабПозиции[[#This Row],[deliveryPost]],SUM(N551:P551))</f>
        <v>286</v>
      </c>
      <c r="R551" s="41">
        <v>286</v>
      </c>
      <c r="S551" s="46">
        <f>ТабПозиции[[#This Row],[totalSumm]]-ТабПозиции[[#This Row],[payment]]</f>
        <v>0</v>
      </c>
      <c r="T551" s="18" t="s">
        <v>970</v>
      </c>
      <c r="U551" s="40" t="s">
        <v>545</v>
      </c>
      <c r="V551" s="40" t="s">
        <v>545</v>
      </c>
      <c r="W551" s="40" t="s">
        <v>545</v>
      </c>
      <c r="X551" s="3"/>
      <c r="Y551"/>
    </row>
    <row r="552" spans="1:25" hidden="1" x14ac:dyDescent="0.25">
      <c r="A552" s="10">
        <v>152</v>
      </c>
      <c r="B552" s="1">
        <f>IFERROR(VLOOKUP(ТабПозиции[[#This Row],[orderNum]],ТабЗаказы[#Data],MATCH(B$7,ТабЗаказы[#Headers],0),0),"")</f>
        <v>45472</v>
      </c>
      <c r="C552" t="str">
        <f>MONTH(ТабПозиции[[#This Row],[date]])&amp;"/"&amp;YEAR(ТабПозиции[[#This Row],[date]])</f>
        <v>6/2024</v>
      </c>
      <c r="D552" s="1" t="str">
        <f>IFERROR(VLOOKUP(ТабПозиции[[#This Row],[orderNum]],ТабЗаказы[#Data],MATCH(D$7,ТабЗаказы[#Headers],0),0),"")</f>
        <v/>
      </c>
      <c r="E552" s="1" t="str">
        <f>IFERROR(VLOOKUP(ТабПозиции[[#This Row],[orderNum]],ТабЗаказы[#Data],MATCH(E$7,ТабЗаказы[#Headers],0),0),"")</f>
        <v/>
      </c>
      <c r="F552" s="16" t="s">
        <v>655</v>
      </c>
      <c r="G552" s="40" t="s">
        <v>545</v>
      </c>
      <c r="I552" s="18">
        <v>45474</v>
      </c>
      <c r="J552" s="10">
        <v>1</v>
      </c>
      <c r="K552" s="10">
        <v>189</v>
      </c>
      <c r="L552">
        <v>189</v>
      </c>
      <c r="M552" s="10">
        <v>199</v>
      </c>
      <c r="N552">
        <f t="shared" si="10"/>
        <v>199</v>
      </c>
      <c r="P5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Row],[orderNum]],ТабПозиции[orderSumm])&gt;1500),ABS(N552*VLOOKUP(ТабПозиции[[#This Row],[orderNum]],ТабЗаказы[#Data],MATCH("Percent",ТабЗаказы[#Headers],0),0))/100,200/COUNTIF(ТабПозиции[orderNum],ТабПозиции[[#This Row],[orderNum]])),0),"")</f>
        <v>30</v>
      </c>
      <c r="Q552">
        <f>IF(OR(ТабПозиции[[#This Row],[item]]="По штрихкоду",ТабПозиции[[#This Row],[item]]="Посылка"),ТабПозиции[[#This Row],[deliverySumm]]+ТабПозиции[[#This Row],[deliveryPost]],SUM(N552:P552))</f>
        <v>229</v>
      </c>
      <c r="R552" s="41">
        <v>229</v>
      </c>
      <c r="S552" s="46">
        <f>ТабПозиции[[#This Row],[totalSumm]]-ТабПозиции[[#This Row],[payment]]</f>
        <v>0</v>
      </c>
      <c r="T552" s="18" t="s">
        <v>970</v>
      </c>
      <c r="U552" s="40" t="s">
        <v>545</v>
      </c>
      <c r="V552" s="40" t="s">
        <v>545</v>
      </c>
      <c r="W552" s="40" t="s">
        <v>545</v>
      </c>
      <c r="X552" s="3"/>
      <c r="Y552"/>
    </row>
    <row r="553" spans="1:25" hidden="1" x14ac:dyDescent="0.25">
      <c r="A553" s="10">
        <v>152</v>
      </c>
      <c r="B553" s="1">
        <f>IFERROR(VLOOKUP(ТабПозиции[[#This Row],[orderNum]],ТабЗаказы[#Data],MATCH(B$7,ТабЗаказы[#Headers],0),0),"")</f>
        <v>45472</v>
      </c>
      <c r="C553" t="str">
        <f>MONTH(ТабПозиции[[#This Row],[date]])&amp;"/"&amp;YEAR(ТабПозиции[[#This Row],[date]])</f>
        <v>6/2024</v>
      </c>
      <c r="D553" s="1" t="str">
        <f>IFERROR(VLOOKUP(ТабПозиции[[#This Row],[orderNum]],ТабЗаказы[#Data],MATCH(D$7,ТабЗаказы[#Headers],0),0),"")</f>
        <v/>
      </c>
      <c r="E553" s="1" t="str">
        <f>IFERROR(VLOOKUP(ТабПозиции[[#This Row],[orderNum]],ТабЗаказы[#Data],MATCH(E$7,ТабЗаказы[#Headers],0),0),"")</f>
        <v/>
      </c>
      <c r="F553" s="16" t="s">
        <v>1053</v>
      </c>
      <c r="G553" s="40" t="s">
        <v>545</v>
      </c>
      <c r="I553" s="18">
        <v>45474</v>
      </c>
      <c r="J553" s="10">
        <v>1</v>
      </c>
      <c r="K553" s="10">
        <v>522</v>
      </c>
      <c r="L553">
        <v>522</v>
      </c>
      <c r="M553" s="10">
        <v>550</v>
      </c>
      <c r="N553">
        <f t="shared" si="10"/>
        <v>550</v>
      </c>
      <c r="P5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Row],[orderNum]],ТабПозиции[orderSumm])&gt;1500),ABS(N553*VLOOKUP(ТабПозиции[[#This Row],[orderNum]],ТабЗаказы[#Data],MATCH("Percent",ТабЗаказы[#Headers],0),0))/100,200/COUNTIF(ТабПозиции[orderNum],ТабПозиции[[#This Row],[orderNum]])),0),"")</f>
        <v>83</v>
      </c>
      <c r="Q553">
        <f>IF(OR(ТабПозиции[[#This Row],[item]]="По штрихкоду",ТабПозиции[[#This Row],[item]]="Посылка"),ТабПозиции[[#This Row],[deliverySumm]]+ТабПозиции[[#This Row],[deliveryPost]],SUM(N553:P553))</f>
        <v>633</v>
      </c>
      <c r="R553" s="41">
        <v>633</v>
      </c>
      <c r="S553" s="46">
        <f>ТабПозиции[[#This Row],[totalSumm]]-ТабПозиции[[#This Row],[payment]]</f>
        <v>0</v>
      </c>
      <c r="T553" s="18" t="s">
        <v>970</v>
      </c>
      <c r="U553" s="40" t="s">
        <v>545</v>
      </c>
      <c r="V553" s="40" t="s">
        <v>545</v>
      </c>
      <c r="W553" s="40" t="s">
        <v>545</v>
      </c>
      <c r="X553" s="3"/>
      <c r="Y553"/>
    </row>
    <row r="554" spans="1:25" hidden="1" x14ac:dyDescent="0.25">
      <c r="A554" s="10">
        <v>152</v>
      </c>
      <c r="B554" s="1">
        <f>IFERROR(VLOOKUP(ТабПозиции[[#This Row],[orderNum]],ТабЗаказы[#Data],MATCH(B$7,ТабЗаказы[#Headers],0),0),"")</f>
        <v>45472</v>
      </c>
      <c r="C554" t="str">
        <f>MONTH(ТабПозиции[[#This Row],[date]])&amp;"/"&amp;YEAR(ТабПозиции[[#This Row],[date]])</f>
        <v>6/2024</v>
      </c>
      <c r="D554" s="1" t="str">
        <f>IFERROR(VLOOKUP(ТабПозиции[[#This Row],[orderNum]],ТабЗаказы[#Data],MATCH(D$7,ТабЗаказы[#Headers],0),0),"")</f>
        <v/>
      </c>
      <c r="E554" s="1" t="str">
        <f>IFERROR(VLOOKUP(ТабПозиции[[#This Row],[orderNum]],ТабЗаказы[#Data],MATCH(E$7,ТабЗаказы[#Headers],0),0),"")</f>
        <v/>
      </c>
      <c r="F554" s="16" t="s">
        <v>1054</v>
      </c>
      <c r="G554" s="40" t="s">
        <v>545</v>
      </c>
      <c r="I554" s="18">
        <v>45475</v>
      </c>
      <c r="J554" s="10">
        <v>1</v>
      </c>
      <c r="K554" s="10">
        <v>245</v>
      </c>
      <c r="L554">
        <v>245</v>
      </c>
      <c r="M554" s="10">
        <v>258</v>
      </c>
      <c r="N554">
        <f t="shared" si="10"/>
        <v>258</v>
      </c>
      <c r="P5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Row],[orderNum]],ТабПозиции[orderSumm])&gt;1500),ABS(N554*VLOOKUP(ТабПозиции[[#This Row],[orderNum]],ТабЗаказы[#Data],MATCH("Percent",ТабЗаказы[#Headers],0),0))/100,200/COUNTIF(ТабПозиции[orderNum],ТабПозиции[[#This Row],[orderNum]])),0),"")</f>
        <v>39</v>
      </c>
      <c r="Q554">
        <f>IF(OR(ТабПозиции[[#This Row],[item]]="По штрихкоду",ТабПозиции[[#This Row],[item]]="Посылка"),ТабПозиции[[#This Row],[deliverySumm]]+ТабПозиции[[#This Row],[deliveryPost]],SUM(N554:P554))</f>
        <v>297</v>
      </c>
      <c r="R554" s="41">
        <v>297</v>
      </c>
      <c r="S554" s="46">
        <f>ТабПозиции[[#This Row],[totalSumm]]-ТабПозиции[[#This Row],[payment]]</f>
        <v>0</v>
      </c>
      <c r="T554" s="18" t="s">
        <v>970</v>
      </c>
      <c r="U554" s="40" t="s">
        <v>545</v>
      </c>
      <c r="V554" s="40" t="s">
        <v>545</v>
      </c>
      <c r="W554" s="40" t="s">
        <v>545</v>
      </c>
      <c r="X554" s="3"/>
      <c r="Y554"/>
    </row>
    <row r="555" spans="1:25" hidden="1" x14ac:dyDescent="0.25">
      <c r="A555" s="10">
        <v>152</v>
      </c>
      <c r="B555" s="1">
        <f>IFERROR(VLOOKUP(ТабПозиции[[#This Row],[orderNum]],ТабЗаказы[#Data],MATCH(B$7,ТабЗаказы[#Headers],0),0),"")</f>
        <v>45472</v>
      </c>
      <c r="C555" t="str">
        <f>MONTH(ТабПозиции[[#This Row],[date]])&amp;"/"&amp;YEAR(ТабПозиции[[#This Row],[date]])</f>
        <v>6/2024</v>
      </c>
      <c r="D555" s="1" t="str">
        <f>IFERROR(VLOOKUP(ТабПозиции[[#This Row],[orderNum]],ТабЗаказы[#Data],MATCH(D$7,ТабЗаказы[#Headers],0),0),"")</f>
        <v/>
      </c>
      <c r="E555" s="1" t="str">
        <f>IFERROR(VLOOKUP(ТабПозиции[[#This Row],[orderNum]],ТабЗаказы[#Data],MATCH(E$7,ТабЗаказы[#Headers],0),0),"")</f>
        <v/>
      </c>
      <c r="F555" s="16" t="s">
        <v>1055</v>
      </c>
      <c r="G555" s="40" t="s">
        <v>545</v>
      </c>
      <c r="I555" s="18">
        <v>45475</v>
      </c>
      <c r="J555" s="10">
        <v>1</v>
      </c>
      <c r="K555" s="10">
        <v>432</v>
      </c>
      <c r="L555">
        <v>432</v>
      </c>
      <c r="M555" s="10">
        <v>455</v>
      </c>
      <c r="N555">
        <f t="shared" si="10"/>
        <v>455</v>
      </c>
      <c r="P5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Row],[orderNum]],ТабПозиции[orderSumm])&gt;1500),ABS(N555*VLOOKUP(ТабПозиции[[#This Row],[orderNum]],ТабЗаказы[#Data],MATCH("Percent",ТабЗаказы[#Headers],0),0))/100,200/COUNTIF(ТабПозиции[orderNum],ТабПозиции[[#This Row],[orderNum]])),0),"")</f>
        <v>68</v>
      </c>
      <c r="Q555">
        <f>IF(OR(ТабПозиции[[#This Row],[item]]="По штрихкоду",ТабПозиции[[#This Row],[item]]="Посылка"),ТабПозиции[[#This Row],[deliverySumm]]+ТабПозиции[[#This Row],[deliveryPost]],SUM(N555:P555))</f>
        <v>523</v>
      </c>
      <c r="R555" s="41">
        <v>523</v>
      </c>
      <c r="S555" s="46">
        <f>ТабПозиции[[#This Row],[totalSumm]]-ТабПозиции[[#This Row],[payment]]</f>
        <v>0</v>
      </c>
      <c r="T555" s="18" t="s">
        <v>970</v>
      </c>
      <c r="U555" s="40" t="s">
        <v>545</v>
      </c>
      <c r="V555" s="40" t="s">
        <v>545</v>
      </c>
      <c r="W555" s="40" t="s">
        <v>545</v>
      </c>
      <c r="X555" s="3"/>
      <c r="Y555"/>
    </row>
    <row r="556" spans="1:25" hidden="1" x14ac:dyDescent="0.25">
      <c r="A556" s="10">
        <v>152</v>
      </c>
      <c r="B556" s="1">
        <f>IFERROR(VLOOKUP(ТабПозиции[[#This Row],[orderNum]],ТабЗаказы[#Data],MATCH(B$7,ТабЗаказы[#Headers],0),0),"")</f>
        <v>45472</v>
      </c>
      <c r="C556" t="str">
        <f>MONTH(ТабПозиции[[#This Row],[date]])&amp;"/"&amp;YEAR(ТабПозиции[[#This Row],[date]])</f>
        <v>6/2024</v>
      </c>
      <c r="D556" s="1" t="str">
        <f>IFERROR(VLOOKUP(ТабПозиции[[#This Row],[orderNum]],ТабЗаказы[#Data],MATCH(D$7,ТабЗаказы[#Headers],0),0),"")</f>
        <v/>
      </c>
      <c r="E556" s="1" t="str">
        <f>IFERROR(VLOOKUP(ТабПозиции[[#This Row],[orderNum]],ТабЗаказы[#Data],MATCH(E$7,ТабЗаказы[#Headers],0),0),"")</f>
        <v/>
      </c>
      <c r="F556" s="16" t="s">
        <v>1056</v>
      </c>
      <c r="G556" s="40" t="s">
        <v>545</v>
      </c>
      <c r="I556" s="18">
        <v>45475</v>
      </c>
      <c r="J556" s="10">
        <v>1</v>
      </c>
      <c r="K556" s="10">
        <v>255</v>
      </c>
      <c r="L556">
        <v>255</v>
      </c>
      <c r="M556" s="10">
        <v>269</v>
      </c>
      <c r="N556">
        <f t="shared" si="10"/>
        <v>269</v>
      </c>
      <c r="P5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Row],[orderNum]],ТабПозиции[orderSumm])&gt;1500),ABS(N556*VLOOKUP(ТабПозиции[[#This Row],[orderNum]],ТабЗаказы[#Data],MATCH("Percent",ТабЗаказы[#Headers],0),0))/100,200/COUNTIF(ТабПозиции[orderNum],ТабПозиции[[#This Row],[orderNum]])),0),"")</f>
        <v>40</v>
      </c>
      <c r="Q556">
        <f>IF(OR(ТабПозиции[[#This Row],[item]]="По штрихкоду",ТабПозиции[[#This Row],[item]]="Посылка"),ТабПозиции[[#This Row],[deliverySumm]]+ТабПозиции[[#This Row],[deliveryPost]],SUM(N556:P556))</f>
        <v>309</v>
      </c>
      <c r="R556" s="41">
        <v>309</v>
      </c>
      <c r="S556" s="46">
        <f>ТабПозиции[[#This Row],[totalSumm]]-ТабПозиции[[#This Row],[payment]]</f>
        <v>0</v>
      </c>
      <c r="T556" s="18" t="s">
        <v>970</v>
      </c>
      <c r="U556" s="40" t="s">
        <v>545</v>
      </c>
      <c r="V556" s="40" t="s">
        <v>545</v>
      </c>
      <c r="W556" s="40" t="s">
        <v>545</v>
      </c>
      <c r="X556" s="3"/>
      <c r="Y556"/>
    </row>
    <row r="557" spans="1:25" hidden="1" x14ac:dyDescent="0.25">
      <c r="A557" s="10">
        <v>153</v>
      </c>
      <c r="B557" s="1">
        <f>IFERROR(VLOOKUP(ТабПозиции[[#This Row],[orderNum]],ТабЗаказы[#Data],MATCH(B$7,ТабЗаказы[#Headers],0),0),"")</f>
        <v>45473</v>
      </c>
      <c r="C557" t="str">
        <f>MONTH(ТабПозиции[[#This Row],[date]])&amp;"/"&amp;YEAR(ТабПозиции[[#This Row],[date]])</f>
        <v>6/2024</v>
      </c>
      <c r="D557" s="1" t="str">
        <f>IFERROR(VLOOKUP(ТабПозиции[[#This Row],[orderNum]],ТабЗаказы[#Data],MATCH(D$7,ТабЗаказы[#Headers],0),0),"")</f>
        <v/>
      </c>
      <c r="E557" s="1" t="str">
        <f>IFERROR(VLOOKUP(ТабПозиции[[#This Row],[orderNum]],ТабЗаказы[#Data],MATCH(E$7,ТабЗаказы[#Headers],0),0),"")</f>
        <v/>
      </c>
      <c r="F557" s="16" t="s">
        <v>1057</v>
      </c>
      <c r="G557" s="40" t="s">
        <v>545</v>
      </c>
      <c r="I557" s="18">
        <v>45474</v>
      </c>
      <c r="J557" s="10">
        <v>1</v>
      </c>
      <c r="K557" s="10">
        <v>453</v>
      </c>
      <c r="L557">
        <v>453</v>
      </c>
      <c r="M557" s="10">
        <v>492</v>
      </c>
      <c r="N557">
        <f t="shared" si="10"/>
        <v>492</v>
      </c>
      <c r="P5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Row],[orderNum]],ТабПозиции[orderSumm])&gt;1500),ABS(N557*VLOOKUP(ТабПозиции[[#This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557">
        <f>IF(OR(ТабПозиции[[#This Row],[item]]="По штрихкоду",ТабПозиции[[#This Row],[item]]="Посылка"),ТабПозиции[[#This Row],[deliverySumm]]+ТабПозиции[[#This Row],[deliveryPost]],SUM(N557:P557))</f>
        <v>692</v>
      </c>
      <c r="R557" s="41">
        <v>692</v>
      </c>
      <c r="S557" s="46">
        <f>ТабПозиции[[#This Row],[totalSumm]]-ТабПозиции[[#This Row],[payment]]</f>
        <v>0</v>
      </c>
      <c r="T557" s="18" t="s">
        <v>960</v>
      </c>
      <c r="U557" s="40" t="s">
        <v>545</v>
      </c>
      <c r="V557" s="40" t="s">
        <v>545</v>
      </c>
      <c r="W557" s="40" t="s">
        <v>545</v>
      </c>
      <c r="X557" s="3"/>
      <c r="Y557"/>
    </row>
    <row r="558" spans="1:25" hidden="1" x14ac:dyDescent="0.25">
      <c r="A558" s="10">
        <v>154</v>
      </c>
      <c r="B558" s="1">
        <f>IFERROR(VLOOKUP(ТабПозиции[[#This Row],[orderNum]],ТабЗаказы[#Data],MATCH(B$7,ТабЗаказы[#Headers],0),0),"")</f>
        <v>45473</v>
      </c>
      <c r="C558" t="str">
        <f>MONTH(ТабПозиции[[#This Row],[date]])&amp;"/"&amp;YEAR(ТабПозиции[[#This Row],[date]])</f>
        <v>6/2024</v>
      </c>
      <c r="D558" s="1" t="str">
        <f>IFERROR(VLOOKUP(ТабПозиции[[#This Row],[orderNum]],ТабЗаказы[#Data],MATCH(D$7,ТабЗаказы[#Headers],0),0),"")</f>
        <v/>
      </c>
      <c r="E558" s="1" t="str">
        <f>IFERROR(VLOOKUP(ТабПозиции[[#This Row],[orderNum]],ТабЗаказы[#Data],MATCH(E$7,ТабЗаказы[#Headers],0),0),"")</f>
        <v/>
      </c>
      <c r="F558" s="16" t="s">
        <v>1058</v>
      </c>
      <c r="G558" s="40" t="s">
        <v>545</v>
      </c>
      <c r="I558" s="18">
        <v>45474</v>
      </c>
      <c r="J558" s="10">
        <v>1</v>
      </c>
      <c r="K558" s="10">
        <v>637</v>
      </c>
      <c r="L558">
        <v>637</v>
      </c>
      <c r="M558" s="10">
        <v>700</v>
      </c>
      <c r="N558">
        <f t="shared" si="10"/>
        <v>700</v>
      </c>
      <c r="P5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Row],[orderNum]],ТабПозиции[orderSumm])&gt;1500),ABS(N558*VLOOKUP(ТабПозиции[[#This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558">
        <f>IF(OR(ТабПозиции[[#This Row],[item]]="По штрихкоду",ТабПозиции[[#This Row],[item]]="Посылка"),ТабПозиции[[#This Row],[deliverySumm]]+ТабПозиции[[#This Row],[deliveryPost]],SUM(N558:P558))</f>
        <v>800</v>
      </c>
      <c r="R558" s="41">
        <v>800</v>
      </c>
      <c r="S558" s="46">
        <f>ТабПозиции[[#This Row],[totalSumm]]-ТабПозиции[[#This Row],[payment]]</f>
        <v>0</v>
      </c>
      <c r="T558" s="18" t="s">
        <v>960</v>
      </c>
      <c r="U558" s="40" t="s">
        <v>545</v>
      </c>
      <c r="V558" s="40" t="s">
        <v>545</v>
      </c>
      <c r="W558" s="40" t="s">
        <v>545</v>
      </c>
      <c r="X558" s="3"/>
      <c r="Y558"/>
    </row>
    <row r="559" spans="1:25" hidden="1" x14ac:dyDescent="0.25">
      <c r="A559" s="10">
        <v>154</v>
      </c>
      <c r="B559" s="1">
        <f>IFERROR(VLOOKUP(ТабПозиции[[#This Row],[orderNum]],ТабЗаказы[#Data],MATCH(B$7,ТабЗаказы[#Headers],0),0),"")</f>
        <v>45473</v>
      </c>
      <c r="C559" t="str">
        <f>MONTH(ТабПозиции[[#This Row],[date]])&amp;"/"&amp;YEAR(ТабПозиции[[#This Row],[date]])</f>
        <v>6/2024</v>
      </c>
      <c r="D559" s="1" t="str">
        <f>IFERROR(VLOOKUP(ТабПозиции[[#This Row],[orderNum]],ТабЗаказы[#Data],MATCH(D$7,ТабЗаказы[#Headers],0),0),"")</f>
        <v/>
      </c>
      <c r="E559" s="1" t="str">
        <f>IFERROR(VLOOKUP(ТабПозиции[[#This Row],[orderNum]],ТабЗаказы[#Data],MATCH(E$7,ТабЗаказы[#Headers],0),0),"")</f>
        <v/>
      </c>
      <c r="F559" s="16" t="s">
        <v>1059</v>
      </c>
      <c r="G559" s="40" t="s">
        <v>545</v>
      </c>
      <c r="I559" s="18">
        <v>45477</v>
      </c>
      <c r="J559" s="10">
        <v>1</v>
      </c>
      <c r="K559" s="10">
        <v>339</v>
      </c>
      <c r="L559">
        <v>339</v>
      </c>
      <c r="M559" s="10">
        <v>357</v>
      </c>
      <c r="N559">
        <f t="shared" si="10"/>
        <v>357</v>
      </c>
      <c r="P5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Row],[orderNum]],ТабПозиции[orderSumm])&gt;1500),ABS(N559*VLOOKUP(ТабПозиции[[#This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559">
        <f>IF(OR(ТабПозиции[[#This Row],[item]]="По штрихкоду",ТабПозиции[[#This Row],[item]]="Посылка"),ТабПозиции[[#This Row],[deliverySumm]]+ТабПозиции[[#This Row],[deliveryPost]],SUM(N559:P559))</f>
        <v>457</v>
      </c>
      <c r="R559" s="41">
        <v>457</v>
      </c>
      <c r="S559" s="46">
        <f>ТабПозиции[[#This Row],[totalSumm]]-ТабПозиции[[#This Row],[payment]]</f>
        <v>0</v>
      </c>
      <c r="T559" s="18" t="s">
        <v>970</v>
      </c>
      <c r="U559" s="40" t="s">
        <v>545</v>
      </c>
      <c r="V559" s="40" t="s">
        <v>545</v>
      </c>
      <c r="W559" s="40" t="s">
        <v>545</v>
      </c>
      <c r="X559" s="3"/>
      <c r="Y559"/>
    </row>
    <row r="560" spans="1:25" hidden="1" x14ac:dyDescent="0.25">
      <c r="A560" s="10">
        <v>155</v>
      </c>
      <c r="B560" s="1">
        <f>IFERROR(VLOOKUP(ТабПозиции[[#This Row],[orderNum]],ТабЗаказы[#Data],MATCH(B$7,ТабЗаказы[#Headers],0),0),"")</f>
        <v>45471</v>
      </c>
      <c r="C560" t="str">
        <f>MONTH(ТабПозиции[[#This Row],[date]])&amp;"/"&amp;YEAR(ТабПозиции[[#This Row],[date]])</f>
        <v>6/2024</v>
      </c>
      <c r="D560" s="1" t="str">
        <f>IFERROR(VLOOKUP(ТабПозиции[[#This Row],[orderNum]],ТабЗаказы[#Data],MATCH(D$7,ТабЗаказы[#Headers],0),0),"")</f>
        <v/>
      </c>
      <c r="E560" s="1" t="str">
        <f>IFERROR(VLOOKUP(ТабПозиции[[#This Row],[orderNum]],ТабЗаказы[#Data],MATCH(E$7,ТабЗаказы[#Headers],0),0),"")</f>
        <v/>
      </c>
      <c r="F560" s="16" t="s">
        <v>1060</v>
      </c>
      <c r="G560" s="40" t="s">
        <v>545</v>
      </c>
      <c r="I560" s="18">
        <v>45501</v>
      </c>
      <c r="J560" s="10">
        <v>1</v>
      </c>
      <c r="K560" s="10">
        <v>367</v>
      </c>
      <c r="L560">
        <v>367</v>
      </c>
      <c r="M560" s="10">
        <v>400</v>
      </c>
      <c r="N560">
        <f t="shared" si="10"/>
        <v>400</v>
      </c>
      <c r="P5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Row],[orderNum]],ТабПозиции[orderSumm])&gt;1500),ABS(N560*VLOOKUP(ТабПозиции[[#This Row],[orderNum]],ТабЗаказы[#Data],MATCH("Percent",ТабЗаказы[#Headers],0),0))/100,200/COUNTIF(ТабПозиции[orderNum],ТабПозиции[[#This Row],[orderNum]])),0),"")</f>
        <v>60</v>
      </c>
      <c r="Q560">
        <f>IF(OR(ТабПозиции[[#This Row],[item]]="По штрихкоду",ТабПозиции[[#This Row],[item]]="Посылка"),ТабПозиции[[#This Row],[deliverySumm]]+ТабПозиции[[#This Row],[deliveryPost]],SUM(N560:P560))</f>
        <v>460</v>
      </c>
      <c r="R560" s="41">
        <v>460</v>
      </c>
      <c r="S560" s="46">
        <f>ТабПозиции[[#This Row],[totalSumm]]-ТабПозиции[[#This Row],[payment]]</f>
        <v>0</v>
      </c>
      <c r="T560" s="18" t="s">
        <v>960</v>
      </c>
      <c r="U560" s="40" t="s">
        <v>545</v>
      </c>
      <c r="V560" s="40" t="s">
        <v>545</v>
      </c>
      <c r="W560" s="40" t="s">
        <v>545</v>
      </c>
      <c r="X560" s="3"/>
      <c r="Y560"/>
    </row>
    <row r="561" spans="1:25" hidden="1" x14ac:dyDescent="0.25">
      <c r="A561" s="10">
        <v>155</v>
      </c>
      <c r="B561" s="1">
        <f>IFERROR(VLOOKUP(ТабПозиции[[#This Row],[orderNum]],ТабЗаказы[#Data],MATCH(B$7,ТабЗаказы[#Headers],0),0),"")</f>
        <v>45471</v>
      </c>
      <c r="C561" t="str">
        <f>MONTH(ТабПозиции[[#This Row],[date]])&amp;"/"&amp;YEAR(ТабПозиции[[#This Row],[date]])</f>
        <v>6/2024</v>
      </c>
      <c r="D561" s="1" t="str">
        <f>IFERROR(VLOOKUP(ТабПозиции[[#This Row],[orderNum]],ТабЗаказы[#Data],MATCH(D$7,ТабЗаказы[#Headers],0),0),"")</f>
        <v/>
      </c>
      <c r="E561" s="1" t="str">
        <f>IFERROR(VLOOKUP(ТабПозиции[[#This Row],[orderNum]],ТабЗаказы[#Data],MATCH(E$7,ТабЗаказы[#Headers],0),0),"")</f>
        <v/>
      </c>
      <c r="F561" s="16" t="s">
        <v>1061</v>
      </c>
      <c r="G561" s="40" t="s">
        <v>545</v>
      </c>
      <c r="I561" s="18">
        <v>45477</v>
      </c>
      <c r="J561" s="10">
        <v>3</v>
      </c>
      <c r="K561" s="10">
        <v>418</v>
      </c>
      <c r="L561">
        <v>1254</v>
      </c>
      <c r="M561" s="10">
        <v>464</v>
      </c>
      <c r="N561">
        <v>1397</v>
      </c>
      <c r="P5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Row],[orderNum]],ТабПозиции[orderSumm])&gt;1500),ABS(N561*VLOOKUP(ТабПозиции[[#This Row],[orderNum]],ТабЗаказы[#Data],MATCH("Percent",ТабЗаказы[#Headers],0),0))/100,200/COUNTIF(ТабПозиции[orderNum],ТабПозиции[[#This Row],[orderNum]])),0),"")</f>
        <v>210</v>
      </c>
      <c r="Q561">
        <f>IF(OR(ТабПозиции[[#This Row],[item]]="По штрихкоду",ТабПозиции[[#This Row],[item]]="Посылка"),ТабПозиции[[#This Row],[deliverySumm]]+ТабПозиции[[#This Row],[deliveryPost]],SUM(N561:P561))</f>
        <v>1607</v>
      </c>
      <c r="R561" s="41">
        <v>1607</v>
      </c>
      <c r="S561" s="46">
        <f>ТабПозиции[[#This Row],[totalSumm]]-ТабПозиции[[#This Row],[payment]]</f>
        <v>0</v>
      </c>
      <c r="T561" s="18" t="s">
        <v>960</v>
      </c>
      <c r="U561" s="40" t="s">
        <v>545</v>
      </c>
      <c r="V561" s="40" t="s">
        <v>545</v>
      </c>
      <c r="W561" s="40" t="s">
        <v>545</v>
      </c>
      <c r="X561" s="3"/>
      <c r="Y561"/>
    </row>
    <row r="562" spans="1:25" hidden="1" x14ac:dyDescent="0.25">
      <c r="A562" s="10">
        <v>155</v>
      </c>
      <c r="B562" s="1">
        <f>IFERROR(VLOOKUP(ТабПозиции[[#This Row],[orderNum]],ТабЗаказы[#Data],MATCH(B$7,ТабЗаказы[#Headers],0),0),"")</f>
        <v>45471</v>
      </c>
      <c r="C562" t="str">
        <f>MONTH(ТабПозиции[[#This Row],[date]])&amp;"/"&amp;YEAR(ТабПозиции[[#This Row],[date]])</f>
        <v>6/2024</v>
      </c>
      <c r="D562" s="1" t="str">
        <f>IFERROR(VLOOKUP(ТабПозиции[[#This Row],[orderNum]],ТабЗаказы[#Data],MATCH(D$7,ТабЗаказы[#Headers],0),0),"")</f>
        <v/>
      </c>
      <c r="E562" s="1" t="str">
        <f>IFERROR(VLOOKUP(ТабПозиции[[#This Row],[orderNum]],ТабЗаказы[#Data],MATCH(E$7,ТабЗаказы[#Headers],0),0),"")</f>
        <v/>
      </c>
      <c r="F562" s="16" t="s">
        <v>1062</v>
      </c>
      <c r="G562" s="40" t="s">
        <v>545</v>
      </c>
      <c r="I562" s="18">
        <v>45473</v>
      </c>
      <c r="J562" s="10">
        <v>2</v>
      </c>
      <c r="K562" s="10">
        <v>1300</v>
      </c>
      <c r="L562">
        <v>2600</v>
      </c>
      <c r="M562" s="10">
        <v>1443</v>
      </c>
      <c r="N562">
        <f t="shared" si="10"/>
        <v>2886</v>
      </c>
      <c r="P5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Row],[orderNum]],ТабПозиции[orderSumm])&gt;1500),ABS(N562*VLOOKUP(ТабПозиции[[#This Row],[orderNum]],ТабЗаказы[#Data],MATCH("Percent",ТабЗаказы[#Headers],0),0))/100,200/COUNTIF(ТабПозиции[orderNum],ТабПозиции[[#This Row],[orderNum]])),0),"")</f>
        <v>433</v>
      </c>
      <c r="Q562">
        <f>IF(OR(ТабПозиции[[#This Row],[item]]="По штрихкоду",ТабПозиции[[#This Row],[item]]="Посылка"),ТабПозиции[[#This Row],[deliverySumm]]+ТабПозиции[[#This Row],[deliveryPost]],SUM(N562:P562))</f>
        <v>3319</v>
      </c>
      <c r="R562" s="41">
        <v>3319</v>
      </c>
      <c r="S562" s="46">
        <f>ТабПозиции[[#This Row],[totalSumm]]-ТабПозиции[[#This Row],[payment]]</f>
        <v>0</v>
      </c>
      <c r="T562" s="18" t="s">
        <v>960</v>
      </c>
      <c r="U562" s="40" t="s">
        <v>545</v>
      </c>
      <c r="V562" s="40" t="s">
        <v>545</v>
      </c>
      <c r="W562" s="40" t="s">
        <v>545</v>
      </c>
      <c r="X562" s="3"/>
      <c r="Y562"/>
    </row>
    <row r="563" spans="1:25" hidden="1" x14ac:dyDescent="0.25">
      <c r="A563" s="10">
        <v>155</v>
      </c>
      <c r="B563" s="1">
        <f>IFERROR(VLOOKUP(ТабПозиции[[#This Row],[orderNum]],ТабЗаказы[#Data],MATCH(B$7,ТабЗаказы[#Headers],0),0),"")</f>
        <v>45471</v>
      </c>
      <c r="C563" t="str">
        <f>MONTH(ТабПозиции[[#This Row],[date]])&amp;"/"&amp;YEAR(ТабПозиции[[#This Row],[date]])</f>
        <v>6/2024</v>
      </c>
      <c r="D563" s="1" t="str">
        <f>IFERROR(VLOOKUP(ТабПозиции[[#This Row],[orderNum]],ТабЗаказы[#Data],MATCH(D$7,ТабЗаказы[#Headers],0),0),"")</f>
        <v/>
      </c>
      <c r="E563" s="1" t="str">
        <f>IFERROR(VLOOKUP(ТабПозиции[[#This Row],[orderNum]],ТабЗаказы[#Data],MATCH(E$7,ТабЗаказы[#Headers],0),0),"")</f>
        <v/>
      </c>
      <c r="F563" s="16" t="s">
        <v>942</v>
      </c>
      <c r="G563" s="40" t="s">
        <v>545</v>
      </c>
      <c r="I563" s="18">
        <v>45475</v>
      </c>
      <c r="J563" s="10">
        <v>2</v>
      </c>
      <c r="K563" s="10">
        <v>243</v>
      </c>
      <c r="L563">
        <v>486</v>
      </c>
      <c r="M563" s="10">
        <v>248</v>
      </c>
      <c r="N563">
        <f t="shared" si="10"/>
        <v>496</v>
      </c>
      <c r="P5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Row],[orderNum]],ТабПозиции[orderSumm])&gt;1500),ABS(N563*VLOOKUP(ТабПозиции[[#This Row],[orderNum]],ТабЗаказы[#Data],MATCH("Percent",ТабЗаказы[#Headers],0),0))/100,200/COUNTIF(ТабПозиции[orderNum],ТабПозиции[[#This Row],[orderNum]])),0),"")</f>
        <v>74</v>
      </c>
      <c r="Q563">
        <f>IF(OR(ТабПозиции[[#This Row],[item]]="По штрихкоду",ТабПозиции[[#This Row],[item]]="Посылка"),ТабПозиции[[#This Row],[deliverySumm]]+ТабПозиции[[#This Row],[deliveryPost]],SUM(N563:P563))</f>
        <v>570</v>
      </c>
      <c r="R563" s="41">
        <v>570</v>
      </c>
      <c r="S563" s="46">
        <f>ТабПозиции[[#This Row],[totalSumm]]-ТабПозиции[[#This Row],[payment]]</f>
        <v>0</v>
      </c>
      <c r="T563" s="18" t="s">
        <v>960</v>
      </c>
      <c r="U563" s="40" t="s">
        <v>545</v>
      </c>
      <c r="V563" s="40" t="s">
        <v>545</v>
      </c>
      <c r="W563" s="40" t="s">
        <v>545</v>
      </c>
      <c r="X563" s="3"/>
      <c r="Y563"/>
    </row>
    <row r="564" spans="1:25" hidden="1" x14ac:dyDescent="0.25">
      <c r="A564" s="10">
        <v>155</v>
      </c>
      <c r="B564" s="1">
        <f>IFERROR(VLOOKUP(ТабПозиции[[#This Row],[orderNum]],ТабЗаказы[#Data],MATCH(B$7,ТабЗаказы[#Headers],0),0),"")</f>
        <v>45471</v>
      </c>
      <c r="C564" t="str">
        <f>MONTH(ТабПозиции[[#This Row],[date]])&amp;"/"&amp;YEAR(ТабПозиции[[#This Row],[date]])</f>
        <v>6/2024</v>
      </c>
      <c r="D564" s="1" t="str">
        <f>IFERROR(VLOOKUP(ТабПозиции[[#This Row],[orderNum]],ТабЗаказы[#Data],MATCH(D$7,ТабЗаказы[#Headers],0),0),"")</f>
        <v/>
      </c>
      <c r="E564" s="1" t="str">
        <f>IFERROR(VLOOKUP(ТабПозиции[[#This Row],[orderNum]],ТабЗаказы[#Data],MATCH(E$7,ТабЗаказы[#Headers],0),0),"")</f>
        <v/>
      </c>
      <c r="F564" s="16" t="s">
        <v>1063</v>
      </c>
      <c r="G564" s="40" t="s">
        <v>545</v>
      </c>
      <c r="I564" s="18">
        <v>45475</v>
      </c>
      <c r="J564" s="10">
        <v>2</v>
      </c>
      <c r="K564" s="10">
        <v>640</v>
      </c>
      <c r="L564">
        <v>1280</v>
      </c>
      <c r="M564" s="10">
        <v>814</v>
      </c>
      <c r="N564">
        <f t="shared" si="10"/>
        <v>1628</v>
      </c>
      <c r="P5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Row],[orderNum]],ТабПозиции[orderSumm])&gt;1500),ABS(N564*VLOOKUP(ТабПозиции[[#This Row],[orderNum]],ТабЗаказы[#Data],MATCH("Percent",ТабЗаказы[#Headers],0),0))/100,200/COUNTIF(ТабПозиции[orderNum],ТабПозиции[[#This Row],[orderNum]])),0),"")</f>
        <v>244</v>
      </c>
      <c r="Q564">
        <f>IF(OR(ТабПозиции[[#This Row],[item]]="По штрихкоду",ТабПозиции[[#This Row],[item]]="Посылка"),ТабПозиции[[#This Row],[deliverySumm]]+ТабПозиции[[#This Row],[deliveryPost]],SUM(N564:P564))</f>
        <v>1872</v>
      </c>
      <c r="R564" s="46">
        <v>1872</v>
      </c>
      <c r="S564" s="46">
        <f>ТабПозиции[[#This Row],[totalSumm]]-ТабПозиции[[#This Row],[payment]]</f>
        <v>0</v>
      </c>
      <c r="T564" s="18" t="s">
        <v>960</v>
      </c>
      <c r="U564" s="40" t="s">
        <v>545</v>
      </c>
      <c r="V564" s="40" t="s">
        <v>545</v>
      </c>
      <c r="W564" s="40" t="s">
        <v>545</v>
      </c>
      <c r="X564" s="3"/>
      <c r="Y564"/>
    </row>
    <row r="565" spans="1:25" hidden="1" x14ac:dyDescent="0.25">
      <c r="A565" s="10">
        <v>155</v>
      </c>
      <c r="B565" s="1">
        <f>IFERROR(VLOOKUP(ТабПозиции[[#This Row],[orderNum]],ТабЗаказы[#Data],MATCH(B$7,ТабЗаказы[#Headers],0),0),"")</f>
        <v>45471</v>
      </c>
      <c r="C565" t="str">
        <f>MONTH(ТабПозиции[[#This Row],[date]])&amp;"/"&amp;YEAR(ТабПозиции[[#This Row],[date]])</f>
        <v>6/2024</v>
      </c>
      <c r="D565" s="1" t="str">
        <f>IFERROR(VLOOKUP(ТабПозиции[[#This Row],[orderNum]],ТабЗаказы[#Data],MATCH(D$7,ТабЗаказы[#Headers],0),0),"")</f>
        <v/>
      </c>
      <c r="E565" s="1" t="str">
        <f>IFERROR(VLOOKUP(ТабПозиции[[#This Row],[orderNum]],ТабЗаказы[#Data],MATCH(E$7,ТабЗаказы[#Headers],0),0),"")</f>
        <v/>
      </c>
      <c r="F565" s="21" t="s">
        <v>1064</v>
      </c>
      <c r="G565" s="40" t="s">
        <v>545</v>
      </c>
      <c r="I565" s="18">
        <v>45477</v>
      </c>
      <c r="J565" s="10">
        <v>2</v>
      </c>
      <c r="K565" s="10">
        <v>496</v>
      </c>
      <c r="L565">
        <v>992</v>
      </c>
      <c r="M565" s="10">
        <v>630</v>
      </c>
      <c r="N565">
        <f t="shared" si="10"/>
        <v>1260</v>
      </c>
      <c r="P5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Row],[orderNum]],ТабПозиции[orderSumm])&gt;1500),ABS(N565*VLOOKUP(ТабПозиции[[#This Row],[orderNum]],ТабЗаказы[#Data],MATCH("Percent",ТабЗаказы[#Headers],0),0))/100,200/COUNTIF(ТабПозиции[orderNum],ТабПозиции[[#This Row],[orderNum]])),0),"")</f>
        <v>189</v>
      </c>
      <c r="Q565">
        <f>IF(OR(ТабПозиции[[#This Row],[item]]="По штрихкоду",ТабПозиции[[#This Row],[item]]="Посылка"),ТабПозиции[[#This Row],[deliverySumm]]+ТабПозиции[[#This Row],[deliveryPost]],SUM(N565:P565))</f>
        <v>1449</v>
      </c>
      <c r="R565" s="46">
        <v>1449</v>
      </c>
      <c r="S565" s="46">
        <f>ТабПозиции[[#This Row],[totalSumm]]-ТабПозиции[[#This Row],[payment]]</f>
        <v>0</v>
      </c>
      <c r="T565" s="18" t="s">
        <v>960</v>
      </c>
      <c r="U565" s="40" t="s">
        <v>545</v>
      </c>
      <c r="V565" s="40" t="s">
        <v>545</v>
      </c>
      <c r="W565" s="40" t="s">
        <v>545</v>
      </c>
      <c r="X565" s="3"/>
      <c r="Y565"/>
    </row>
    <row r="566" spans="1:25" hidden="1" x14ac:dyDescent="0.25">
      <c r="A566" s="10">
        <v>155</v>
      </c>
      <c r="B566" s="1">
        <f>IFERROR(VLOOKUP(ТабПозиции[[#This Row],[orderNum]],ТабЗаказы[#Data],MATCH(B$7,ТабЗаказы[#Headers],0),0),"")</f>
        <v>45471</v>
      </c>
      <c r="C566" t="str">
        <f>MONTH(ТабПозиции[[#This Row],[date]])&amp;"/"&amp;YEAR(ТабПозиции[[#This Row],[date]])</f>
        <v>6/2024</v>
      </c>
      <c r="D566" s="1" t="str">
        <f>IFERROR(VLOOKUP(ТабПозиции[[#This Row],[orderNum]],ТабЗаказы[#Data],MATCH(D$7,ТабЗаказы[#Headers],0),0),"")</f>
        <v/>
      </c>
      <c r="E566" s="1" t="str">
        <f>IFERROR(VLOOKUP(ТабПозиции[[#This Row],[orderNum]],ТабЗаказы[#Data],MATCH(E$7,ТабЗаказы[#Headers],0),0),"")</f>
        <v/>
      </c>
      <c r="F566" s="16" t="s">
        <v>1065</v>
      </c>
      <c r="G566" s="40" t="s">
        <v>545</v>
      </c>
      <c r="I566" s="18">
        <v>45481</v>
      </c>
      <c r="J566" s="10">
        <v>2</v>
      </c>
      <c r="K566" s="10">
        <v>375</v>
      </c>
      <c r="L566">
        <v>750</v>
      </c>
      <c r="M566" s="10">
        <v>417</v>
      </c>
      <c r="N566">
        <f t="shared" si="10"/>
        <v>834</v>
      </c>
      <c r="P5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Row],[orderNum]],ТабПозиции[orderSumm])&gt;1500),ABS(N566*VLOOKUP(ТабПозиции[[#This Row],[orderNum]],ТабЗаказы[#Data],MATCH("Percent",ТабЗаказы[#Headers],0),0))/100,200/COUNTIF(ТабПозиции[orderNum],ТабПозиции[[#This Row],[orderNum]])),0),"")</f>
        <v>125</v>
      </c>
      <c r="Q566">
        <f>IF(OR(ТабПозиции[[#This Row],[item]]="По штрихкоду",ТабПозиции[[#This Row],[item]]="Посылка"),ТабПозиции[[#This Row],[deliverySumm]]+ТабПозиции[[#This Row],[deliveryPost]],SUM(N566:P566))</f>
        <v>959</v>
      </c>
      <c r="R566" s="46">
        <v>959</v>
      </c>
      <c r="S566" s="46">
        <f>ТабПозиции[[#This Row],[totalSumm]]-ТабПозиции[[#This Row],[payment]]</f>
        <v>0</v>
      </c>
      <c r="T566" s="18" t="s">
        <v>960</v>
      </c>
      <c r="U566" s="40" t="s">
        <v>545</v>
      </c>
      <c r="V566" s="40" t="s">
        <v>545</v>
      </c>
      <c r="W566" s="40" t="s">
        <v>545</v>
      </c>
      <c r="X566" s="3"/>
      <c r="Y566"/>
    </row>
    <row r="567" spans="1:25" hidden="1" x14ac:dyDescent="0.25">
      <c r="A567" s="10">
        <v>156</v>
      </c>
      <c r="B567" s="1">
        <f>IFERROR(VLOOKUP(ТабПозиции[[#This Row],[orderNum]],ТабЗаказы[#Data],MATCH(B$7,ТабЗаказы[#Headers],0),0),"")</f>
        <v>45473</v>
      </c>
      <c r="C567" t="str">
        <f>MONTH(ТабПозиции[[#This Row],[date]])&amp;"/"&amp;YEAR(ТабПозиции[[#This Row],[date]])</f>
        <v>6/2024</v>
      </c>
      <c r="D567" s="1" t="str">
        <f>IFERROR(VLOOKUP(ТабПозиции[[#This Row],[orderNum]],ТабЗаказы[#Data],MATCH(D$7,ТабЗаказы[#Headers],0),0),"")</f>
        <v/>
      </c>
      <c r="E567" s="1" t="str">
        <f>IFERROR(VLOOKUP(ТабПозиции[[#This Row],[orderNum]],ТабЗаказы[#Data],MATCH(E$7,ТабЗаказы[#Headers],0),0),"")</f>
        <v/>
      </c>
      <c r="F567" s="21" t="s">
        <v>1066</v>
      </c>
      <c r="G567" s="40" t="s">
        <v>545</v>
      </c>
      <c r="I567" s="18">
        <v>45485</v>
      </c>
      <c r="J567" s="10">
        <v>1</v>
      </c>
      <c r="K567" s="10">
        <v>2500</v>
      </c>
      <c r="L567">
        <v>2500</v>
      </c>
      <c r="M567" s="10">
        <v>2500</v>
      </c>
      <c r="N567">
        <f t="shared" si="10"/>
        <v>2500</v>
      </c>
      <c r="O567" s="10">
        <v>539</v>
      </c>
      <c r="P5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Row],[orderNum]],ТабПозиции[orderSumm])&gt;1500),ABS(N567*VLOOKUP(ТабПозиции[[#This Row],[orderNum]],ТабЗаказы[#Data],MATCH("Percent",ТабЗаказы[#Headers],0),0))/100,200/COUNTIF(ТабПозиции[orderNum],ТабПозиции[[#This Row],[orderNum]])),0),"")+586</f>
        <v>961</v>
      </c>
      <c r="Q567">
        <f>IF(OR(ТабПозиции[[#This Row],[item]]="По штрихкоду",ТабПозиции[[#This Row],[item]]="Посылка"),ТабПозиции[[#This Row],[deliverySumm]]+ТабПозиции[[#This Row],[deliveryPost]],SUM(N567:P567))</f>
        <v>4000</v>
      </c>
      <c r="R567" s="41">
        <v>4000</v>
      </c>
      <c r="S567" s="46">
        <f>ТабПозиции[[#This Row],[totalSumm]]-ТабПозиции[[#This Row],[payment]]</f>
        <v>0</v>
      </c>
      <c r="T567" s="18" t="s">
        <v>1067</v>
      </c>
      <c r="U567" s="40" t="s">
        <v>545</v>
      </c>
      <c r="V567" s="40" t="s">
        <v>545</v>
      </c>
      <c r="W567" s="40" t="s">
        <v>545</v>
      </c>
      <c r="X567" s="3"/>
      <c r="Y567"/>
    </row>
    <row r="568" spans="1:25" hidden="1" x14ac:dyDescent="0.25">
      <c r="A568" s="10">
        <v>157</v>
      </c>
      <c r="B568" s="1">
        <f>IFERROR(VLOOKUP(ТабПозиции[[#This Row],[orderNum]],ТабЗаказы[#Data],MATCH(B$7,ТабЗаказы[#Headers],0),0),"")</f>
        <v>45473</v>
      </c>
      <c r="C568" t="str">
        <f>MONTH(ТабПозиции[[#This Row],[date]])&amp;"/"&amp;YEAR(ТабПозиции[[#This Row],[date]])</f>
        <v>6/2024</v>
      </c>
      <c r="D568" s="1" t="str">
        <f>IFERROR(VLOOKUP(ТабПозиции[[#This Row],[orderNum]],ТабЗаказы[#Data],MATCH(D$7,ТабЗаказы[#Headers],0),0),"")</f>
        <v/>
      </c>
      <c r="E568" s="1" t="str">
        <f>IFERROR(VLOOKUP(ТабПозиции[[#This Row],[orderNum]],ТабЗаказы[#Data],MATCH(E$7,ТабЗаказы[#Headers],0),0),"")</f>
        <v/>
      </c>
      <c r="F568" s="16" t="s">
        <v>1068</v>
      </c>
      <c r="G568" s="40" t="s">
        <v>545</v>
      </c>
      <c r="I568" s="18">
        <v>45476</v>
      </c>
      <c r="J568" s="10">
        <v>1</v>
      </c>
      <c r="K568" s="10">
        <v>446</v>
      </c>
      <c r="L568">
        <v>446</v>
      </c>
      <c r="M568" s="10">
        <v>470</v>
      </c>
      <c r="N568">
        <f t="shared" si="10"/>
        <v>470</v>
      </c>
      <c r="P5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Row],[orderNum]],ТабПозиции[orderSumm])&gt;1500),ABS(N568*VLOOKUP(ТабПозиции[[#This Row],[orderNum]],ТабЗаказы[#Data],MATCH("Percent",ТабЗаказы[#Headers],0),0))/100,200/COUNTIF(ТабПозиции[orderNum],ТабПозиции[[#This Row],[orderNum]])),0),"")</f>
        <v>47</v>
      </c>
      <c r="Q568">
        <f>IF(OR(ТабПозиции[[#This Row],[item]]="По штрихкоду",ТабПозиции[[#This Row],[item]]="Посылка"),ТабПозиции[[#This Row],[deliverySumm]]+ТабПозиции[[#This Row],[deliveryPost]],SUM(N568:P568))</f>
        <v>517</v>
      </c>
      <c r="R568" s="41">
        <v>517</v>
      </c>
      <c r="S568" s="46">
        <f>ТабПозиции[[#This Row],[totalSumm]]-ТабПозиции[[#This Row],[payment]]</f>
        <v>0</v>
      </c>
      <c r="T568" s="18" t="s">
        <v>970</v>
      </c>
      <c r="U568" s="40" t="s">
        <v>545</v>
      </c>
      <c r="V568" s="40" t="s">
        <v>545</v>
      </c>
      <c r="W568" s="40" t="s">
        <v>545</v>
      </c>
      <c r="X568" s="3"/>
      <c r="Y568"/>
    </row>
    <row r="569" spans="1:25" hidden="1" x14ac:dyDescent="0.25">
      <c r="A569" s="10">
        <v>157</v>
      </c>
      <c r="B569" s="1">
        <f>IFERROR(VLOOKUP(ТабПозиции[[#This Row],[orderNum]],ТабЗаказы[#Data],MATCH(B$7,ТабЗаказы[#Headers],0),0),"")</f>
        <v>45473</v>
      </c>
      <c r="C569" t="str">
        <f>MONTH(ТабПозиции[[#This Row],[date]])&amp;"/"&amp;YEAR(ТабПозиции[[#This Row],[date]])</f>
        <v>6/2024</v>
      </c>
      <c r="D569" s="1" t="str">
        <f>IFERROR(VLOOKUP(ТабПозиции[[#This Row],[orderNum]],ТабЗаказы[#Data],MATCH(D$7,ТабЗаказы[#Headers],0),0),"")</f>
        <v/>
      </c>
      <c r="E569" s="1" t="str">
        <f>IFERROR(VLOOKUP(ТабПозиции[[#This Row],[orderNum]],ТабЗаказы[#Data],MATCH(E$7,ТабЗаказы[#Headers],0),0),"")</f>
        <v/>
      </c>
      <c r="F569" s="16" t="s">
        <v>1069</v>
      </c>
      <c r="G569" s="40" t="s">
        <v>545</v>
      </c>
      <c r="I569" s="18">
        <v>45484</v>
      </c>
      <c r="J569" s="10">
        <v>1</v>
      </c>
      <c r="K569" s="10">
        <v>370</v>
      </c>
      <c r="L569">
        <v>370</v>
      </c>
      <c r="M569" s="10">
        <v>390</v>
      </c>
      <c r="N569">
        <f t="shared" si="10"/>
        <v>390</v>
      </c>
      <c r="P5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Row],[orderNum]],ТабПозиции[orderSumm])&gt;1500),ABS(N569*VLOOKUP(ТабПозиции[[#This Row],[orderNum]],ТабЗаказы[#Data],MATCH("Percent",ТабЗаказы[#Headers],0),0))/100,200/COUNTIF(ТабПозиции[orderNum],ТабПозиции[[#This Row],[orderNum]])),0),"")</f>
        <v>39</v>
      </c>
      <c r="Q569">
        <f>IF(OR(ТабПозиции[[#This Row],[item]]="По штрихкоду",ТабПозиции[[#This Row],[item]]="Посылка"),ТабПозиции[[#This Row],[deliverySumm]]+ТабПозиции[[#This Row],[deliveryPost]],SUM(N569:P569))</f>
        <v>429</v>
      </c>
      <c r="R569" s="41">
        <v>429</v>
      </c>
      <c r="S569" s="46">
        <f>ТабПозиции[[#This Row],[totalSumm]]-ТабПозиции[[#This Row],[payment]]</f>
        <v>0</v>
      </c>
      <c r="T569" s="18" t="s">
        <v>970</v>
      </c>
      <c r="U569" s="40" t="s">
        <v>545</v>
      </c>
      <c r="V569" s="40" t="s">
        <v>545</v>
      </c>
      <c r="W569" s="40" t="s">
        <v>545</v>
      </c>
      <c r="X569" s="3"/>
      <c r="Y569"/>
    </row>
    <row r="570" spans="1:25" hidden="1" x14ac:dyDescent="0.25">
      <c r="A570" s="10">
        <v>157</v>
      </c>
      <c r="B570" s="1">
        <f>IFERROR(VLOOKUP(ТабПозиции[[#This Row],[orderNum]],ТабЗаказы[#Data],MATCH(B$7,ТабЗаказы[#Headers],0),0),"")</f>
        <v>45473</v>
      </c>
      <c r="C570" t="str">
        <f>MONTH(ТабПозиции[[#This Row],[date]])&amp;"/"&amp;YEAR(ТабПозиции[[#This Row],[date]])</f>
        <v>6/2024</v>
      </c>
      <c r="D570" s="1" t="str">
        <f>IFERROR(VLOOKUP(ТабПозиции[[#This Row],[orderNum]],ТабЗаказы[#Data],MATCH(D$7,ТабЗаказы[#Headers],0),0),"")</f>
        <v/>
      </c>
      <c r="E570" s="1" t="str">
        <f>IFERROR(VLOOKUP(ТабПозиции[[#This Row],[orderNum]],ТабЗаказы[#Data],MATCH(E$7,ТабЗаказы[#Headers],0),0),"")</f>
        <v/>
      </c>
      <c r="F570" s="16" t="s">
        <v>1070</v>
      </c>
      <c r="G570" s="40" t="s">
        <v>545</v>
      </c>
      <c r="I570" s="18">
        <v>45478</v>
      </c>
      <c r="J570" s="10">
        <v>1</v>
      </c>
      <c r="K570" s="10">
        <v>656</v>
      </c>
      <c r="L570">
        <v>656</v>
      </c>
      <c r="M570" s="10">
        <v>691</v>
      </c>
      <c r="N570">
        <f t="shared" si="10"/>
        <v>691</v>
      </c>
      <c r="P5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Row],[orderNum]],ТабПозиции[orderSumm])&gt;1500),ABS(N570*VLOOKUP(ТабПозиции[[#This Row],[orderNum]],ТабЗаказы[#Data],MATCH("Percent",ТабЗаказы[#Headers],0),0))/100,200/COUNTIF(ТабПозиции[orderNum],ТабПозиции[[#This Row],[orderNum]])),0),"")</f>
        <v>69</v>
      </c>
      <c r="Q570">
        <f>IF(OR(ТабПозиции[[#This Row],[item]]="По штрихкоду",ТабПозиции[[#This Row],[item]]="Посылка"),ТабПозиции[[#This Row],[deliverySumm]]+ТабПозиции[[#This Row],[deliveryPost]],SUM(N570:P570))</f>
        <v>760</v>
      </c>
      <c r="R570" s="41">
        <v>760</v>
      </c>
      <c r="S570" s="46">
        <f>ТабПозиции[[#This Row],[totalSumm]]-ТабПозиции[[#This Row],[payment]]</f>
        <v>0</v>
      </c>
      <c r="T570" s="18" t="s">
        <v>970</v>
      </c>
      <c r="U570" s="40" t="s">
        <v>545</v>
      </c>
      <c r="V570" s="40" t="s">
        <v>545</v>
      </c>
      <c r="W570" s="40" t="s">
        <v>545</v>
      </c>
      <c r="X570" s="3"/>
      <c r="Y570"/>
    </row>
    <row r="571" spans="1:25" hidden="1" x14ac:dyDescent="0.25">
      <c r="A571" s="10">
        <v>157</v>
      </c>
      <c r="B571" s="1">
        <f>IFERROR(VLOOKUP(ТабПозиции[[#This Row],[orderNum]],ТабЗаказы[#Data],MATCH(B$7,ТабЗаказы[#Headers],0),0),"")</f>
        <v>45473</v>
      </c>
      <c r="C571" t="str">
        <f>MONTH(ТабПозиции[[#This Row],[date]])&amp;"/"&amp;YEAR(ТабПозиции[[#This Row],[date]])</f>
        <v>6/2024</v>
      </c>
      <c r="D571" s="1" t="str">
        <f>IFERROR(VLOOKUP(ТабПозиции[[#This Row],[orderNum]],ТабЗаказы[#Data],MATCH(D$7,ТабЗаказы[#Headers],0),0),"")</f>
        <v/>
      </c>
      <c r="E571" s="1" t="str">
        <f>IFERROR(VLOOKUP(ТабПозиции[[#This Row],[orderNum]],ТабЗаказы[#Data],MATCH(E$7,ТабЗаказы[#Headers],0),0),"")</f>
        <v/>
      </c>
      <c r="F571" s="16" t="s">
        <v>1071</v>
      </c>
      <c r="G571" s="40" t="s">
        <v>545</v>
      </c>
      <c r="I571" s="18">
        <v>45476</v>
      </c>
      <c r="J571" s="10">
        <v>1</v>
      </c>
      <c r="K571" s="10">
        <v>830</v>
      </c>
      <c r="L571">
        <v>830</v>
      </c>
      <c r="M571" s="10">
        <v>874</v>
      </c>
      <c r="N571">
        <f t="shared" si="10"/>
        <v>874</v>
      </c>
      <c r="P5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Row],[orderNum]],ТабПозиции[orderSumm])&gt;1500),ABS(N571*VLOOKUP(ТабПозиции[[#This Row],[orderNum]],ТабЗаказы[#Data],MATCH("Percent",ТабЗаказы[#Headers],0),0))/100,200/COUNTIF(ТабПозиции[orderNum],ТабПозиции[[#This Row],[orderNum]])),0),"")</f>
        <v>87</v>
      </c>
      <c r="Q571">
        <f>IF(OR(ТабПозиции[[#This Row],[item]]="По штрихкоду",ТабПозиции[[#This Row],[item]]="Посылка"),ТабПозиции[[#This Row],[deliverySumm]]+ТабПозиции[[#This Row],[deliveryPost]],SUM(N571:P571))</f>
        <v>961</v>
      </c>
      <c r="R571" s="41">
        <v>961</v>
      </c>
      <c r="S571" s="46">
        <f>ТабПозиции[[#This Row],[totalSumm]]-ТабПозиции[[#This Row],[payment]]</f>
        <v>0</v>
      </c>
      <c r="T571" s="18" t="s">
        <v>970</v>
      </c>
      <c r="U571" s="40" t="s">
        <v>545</v>
      </c>
      <c r="V571" s="40" t="s">
        <v>545</v>
      </c>
      <c r="W571" s="40" t="s">
        <v>545</v>
      </c>
      <c r="X571" s="3"/>
      <c r="Y571"/>
    </row>
    <row r="572" spans="1:25" hidden="1" x14ac:dyDescent="0.25">
      <c r="A572" s="10">
        <v>158</v>
      </c>
      <c r="B572" s="1">
        <f>IFERROR(VLOOKUP(ТабПозиции[[#This Row],[orderNum]],ТабЗаказы[#Data],MATCH(B$7,ТабЗаказы[#Headers],0),0),"")</f>
        <v>45473</v>
      </c>
      <c r="C572" t="str">
        <f>MONTH(ТабПозиции[[#This Row],[date]])&amp;"/"&amp;YEAR(ТабПозиции[[#This Row],[date]])</f>
        <v>6/2024</v>
      </c>
      <c r="D572" s="1" t="str">
        <f>IFERROR(VLOOKUP(ТабПозиции[[#This Row],[orderNum]],ТабЗаказы[#Data],MATCH(D$7,ТабЗаказы[#Headers],0),0),"")</f>
        <v/>
      </c>
      <c r="E572" s="1" t="str">
        <f>IFERROR(VLOOKUP(ТабПозиции[[#This Row],[orderNum]],ТабЗаказы[#Data],MATCH(E$7,ТабЗаказы[#Headers],0),0),"")</f>
        <v/>
      </c>
      <c r="F572" s="16" t="s">
        <v>1072</v>
      </c>
      <c r="G572" s="40" t="s">
        <v>545</v>
      </c>
      <c r="I572" s="18">
        <v>45477</v>
      </c>
      <c r="J572" s="10">
        <v>1</v>
      </c>
      <c r="K572" s="10">
        <v>381</v>
      </c>
      <c r="L572">
        <v>381</v>
      </c>
      <c r="M572" s="10">
        <v>414</v>
      </c>
      <c r="N572">
        <f t="shared" si="10"/>
        <v>414</v>
      </c>
      <c r="P5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Row],[orderNum]],ТабПозиции[orderSumm])&gt;1500),ABS(N572*VLOOKUP(ТабПозиции[[#This Row],[orderNum]],ТабЗаказы[#Data],MATCH("Percent",ТабЗаказы[#Headers],0),0))/100,200/COUNTIF(ТабПозиции[orderNum],ТабПозиции[[#This Row],[orderNum]])),0),"")</f>
        <v>62</v>
      </c>
      <c r="Q572">
        <f>IF(OR(ТабПозиции[[#This Row],[item]]="По штрихкоду",ТабПозиции[[#This Row],[item]]="Посылка"),ТабПозиции[[#This Row],[deliverySumm]]+ТабПозиции[[#This Row],[deliveryPost]],SUM(N572:P572))</f>
        <v>476</v>
      </c>
      <c r="R572" s="41">
        <v>476</v>
      </c>
      <c r="S572" s="46">
        <f>ТабПозиции[[#This Row],[totalSumm]]-ТабПозиции[[#This Row],[payment]]</f>
        <v>0</v>
      </c>
      <c r="T572" s="18" t="s">
        <v>960</v>
      </c>
      <c r="U572" s="40" t="s">
        <v>545</v>
      </c>
      <c r="V572" s="40" t="s">
        <v>545</v>
      </c>
      <c r="W572" s="40" t="s">
        <v>545</v>
      </c>
      <c r="X572" s="3"/>
      <c r="Y572"/>
    </row>
    <row r="573" spans="1:25" hidden="1" x14ac:dyDescent="0.25">
      <c r="A573" s="10">
        <v>158</v>
      </c>
      <c r="B573" s="1">
        <f>IFERROR(VLOOKUP(ТабПозиции[[#This Row],[orderNum]],ТабЗаказы[#Data],MATCH(B$7,ТабЗаказы[#Headers],0),0),"")</f>
        <v>45473</v>
      </c>
      <c r="C573" t="str">
        <f>MONTH(ТабПозиции[[#This Row],[date]])&amp;"/"&amp;YEAR(ТабПозиции[[#This Row],[date]])</f>
        <v>6/2024</v>
      </c>
      <c r="D573" s="1" t="str">
        <f>IFERROR(VLOOKUP(ТабПозиции[[#This Row],[orderNum]],ТабЗаказы[#Data],MATCH(D$7,ТабЗаказы[#Headers],0),0),"")</f>
        <v/>
      </c>
      <c r="E573" s="1" t="str">
        <f>IFERROR(VLOOKUP(ТабПозиции[[#This Row],[orderNum]],ТабЗаказы[#Data],MATCH(E$7,ТабЗаказы[#Headers],0),0),"")</f>
        <v/>
      </c>
      <c r="F573" s="16" t="s">
        <v>1073</v>
      </c>
      <c r="G573" s="40" t="s">
        <v>545</v>
      </c>
      <c r="I573" s="18">
        <v>45475</v>
      </c>
      <c r="J573" s="10">
        <v>1</v>
      </c>
      <c r="K573" s="10">
        <v>165</v>
      </c>
      <c r="L573">
        <v>165</v>
      </c>
      <c r="M573" s="10">
        <v>168</v>
      </c>
      <c r="N573">
        <f t="shared" si="10"/>
        <v>168</v>
      </c>
      <c r="P5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Row],[orderNum]],ТабПозиции[orderSumm])&gt;1500),ABS(N573*VLOOKUP(ТабПозиции[[#This Row],[orderNum]],ТабЗаказы[#Data],MATCH("Percent",ТабЗаказы[#Headers],0),0))/100,200/COUNTIF(ТабПозиции[orderNum],ТабПозиции[[#This Row],[orderNum]])),0),"")</f>
        <v>25</v>
      </c>
      <c r="Q573">
        <f>IF(OR(ТабПозиции[[#This Row],[item]]="По штрихкоду",ТабПозиции[[#This Row],[item]]="Посылка"),ТабПозиции[[#This Row],[deliverySumm]]+ТабПозиции[[#This Row],[deliveryPost]],SUM(N573:P573))</f>
        <v>193</v>
      </c>
      <c r="R573" s="41">
        <v>193</v>
      </c>
      <c r="S573" s="46">
        <f>ТабПозиции[[#This Row],[totalSumm]]-ТабПозиции[[#This Row],[payment]]</f>
        <v>0</v>
      </c>
      <c r="T573" s="18" t="s">
        <v>960</v>
      </c>
      <c r="U573" s="40" t="s">
        <v>545</v>
      </c>
      <c r="V573" s="40" t="s">
        <v>545</v>
      </c>
      <c r="W573" s="40" t="s">
        <v>545</v>
      </c>
      <c r="X573" s="3"/>
      <c r="Y573"/>
    </row>
    <row r="574" spans="1:25" hidden="1" x14ac:dyDescent="0.25">
      <c r="A574" s="10">
        <v>158</v>
      </c>
      <c r="B574" s="1">
        <f>IFERROR(VLOOKUP(ТабПозиции[[#This Row],[orderNum]],ТабЗаказы[#Data],MATCH(B$7,ТабЗаказы[#Headers],0),0),"")</f>
        <v>45473</v>
      </c>
      <c r="C574" t="str">
        <f>MONTH(ТабПозиции[[#This Row],[date]])&amp;"/"&amp;YEAR(ТабПозиции[[#This Row],[date]])</f>
        <v>6/2024</v>
      </c>
      <c r="D574" s="1" t="str">
        <f>IFERROR(VLOOKUP(ТабПозиции[[#This Row],[orderNum]],ТабЗаказы[#Data],MATCH(D$7,ТабЗаказы[#Headers],0),0),"")</f>
        <v/>
      </c>
      <c r="E574" s="1" t="str">
        <f>IFERROR(VLOOKUP(ТабПозиции[[#This Row],[orderNum]],ТабЗаказы[#Data],MATCH(E$7,ТабЗаказы[#Headers],0),0),"")</f>
        <v/>
      </c>
      <c r="F574" s="16" t="s">
        <v>1074</v>
      </c>
      <c r="G574" s="40" t="s">
        <v>545</v>
      </c>
      <c r="I574" s="18">
        <v>45475</v>
      </c>
      <c r="J574" s="10">
        <v>1</v>
      </c>
      <c r="K574" s="10">
        <v>1019</v>
      </c>
      <c r="L574">
        <v>1019</v>
      </c>
      <c r="M574" s="10">
        <v>1237</v>
      </c>
      <c r="N574">
        <f t="shared" si="10"/>
        <v>1237</v>
      </c>
      <c r="P5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Row],[orderNum]],ТабПозиции[orderSumm])&gt;1500),ABS(N574*VLOOKUP(ТабПозиции[[#This Row],[orderNum]],ТабЗаказы[#Data],MATCH("Percent",ТабЗаказы[#Headers],0),0))/100,200/COUNTIF(ТабПозиции[orderNum],ТабПозиции[[#This Row],[orderNum]])),0),"")</f>
        <v>186</v>
      </c>
      <c r="Q574">
        <f>IF(OR(ТабПозиции[[#This Row],[item]]="По штрихкоду",ТабПозиции[[#This Row],[item]]="Посылка"),ТабПозиции[[#This Row],[deliverySumm]]+ТабПозиции[[#This Row],[deliveryPost]],SUM(N574:P574))</f>
        <v>1423</v>
      </c>
      <c r="R574" s="41">
        <v>1423</v>
      </c>
      <c r="S574" s="46">
        <f>ТабПозиции[[#This Row],[totalSumm]]-ТабПозиции[[#This Row],[payment]]</f>
        <v>0</v>
      </c>
      <c r="T574" s="18" t="s">
        <v>960</v>
      </c>
      <c r="U574" s="40" t="s">
        <v>545</v>
      </c>
      <c r="V574" s="40" t="s">
        <v>545</v>
      </c>
      <c r="W574" s="40" t="s">
        <v>545</v>
      </c>
      <c r="X574" s="3"/>
      <c r="Y574"/>
    </row>
    <row r="575" spans="1:25" hidden="1" x14ac:dyDescent="0.25">
      <c r="A575" s="10">
        <v>158</v>
      </c>
      <c r="B575" s="1">
        <f>IFERROR(VLOOKUP(ТабПозиции[[#This Row],[orderNum]],ТабЗаказы[#Data],MATCH(B$7,ТабЗаказы[#Headers],0),0),"")</f>
        <v>45473</v>
      </c>
      <c r="C575" t="str">
        <f>MONTH(ТабПозиции[[#This Row],[date]])&amp;"/"&amp;YEAR(ТабПозиции[[#This Row],[date]])</f>
        <v>6/2024</v>
      </c>
      <c r="D575" s="1" t="str">
        <f>IFERROR(VLOOKUP(ТабПозиции[[#This Row],[orderNum]],ТабЗаказы[#Data],MATCH(D$7,ТабЗаказы[#Headers],0),0),"")</f>
        <v/>
      </c>
      <c r="E575" s="1" t="str">
        <f>IFERROR(VLOOKUP(ТабПозиции[[#This Row],[orderNum]],ТабЗаказы[#Data],MATCH(E$7,ТабЗаказы[#Headers],0),0),"")</f>
        <v/>
      </c>
      <c r="F575" s="16" t="s">
        <v>1075</v>
      </c>
      <c r="G575" s="40" t="s">
        <v>545</v>
      </c>
      <c r="I575" s="18">
        <v>45477</v>
      </c>
      <c r="J575" s="10">
        <v>1</v>
      </c>
      <c r="K575" s="10">
        <v>156</v>
      </c>
      <c r="L575">
        <v>156</v>
      </c>
      <c r="M575" s="10">
        <v>159</v>
      </c>
      <c r="N575">
        <f t="shared" si="10"/>
        <v>159</v>
      </c>
      <c r="P5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Row],[orderNum]],ТабПозиции[orderSumm])&gt;1500),ABS(N575*VLOOKUP(ТабПозиции[[#This Row],[orderNum]],ТабЗаказы[#Data],MATCH("Percent",ТабЗаказы[#Headers],0),0))/100,200/COUNTIF(ТабПозиции[orderNum],ТабПозиции[[#This Row],[orderNum]])),0),"")</f>
        <v>24</v>
      </c>
      <c r="Q575">
        <f>IF(OR(ТабПозиции[[#This Row],[item]]="По штрихкоду",ТабПозиции[[#This Row],[item]]="Посылка"),ТабПозиции[[#This Row],[deliverySumm]]+ТабПозиции[[#This Row],[deliveryPost]],SUM(N575:P575))</f>
        <v>183</v>
      </c>
      <c r="R575" s="41">
        <v>183</v>
      </c>
      <c r="S575" s="46">
        <f>ТабПозиции[[#This Row],[totalSumm]]-ТабПозиции[[#This Row],[payment]]</f>
        <v>0</v>
      </c>
      <c r="T575" s="18" t="s">
        <v>960</v>
      </c>
      <c r="U575" s="40" t="s">
        <v>545</v>
      </c>
      <c r="V575" s="40" t="s">
        <v>545</v>
      </c>
      <c r="W575" s="40" t="s">
        <v>545</v>
      </c>
      <c r="X575" s="3"/>
      <c r="Y575"/>
    </row>
    <row r="576" spans="1:25" hidden="1" x14ac:dyDescent="0.25">
      <c r="A576" s="10">
        <v>158</v>
      </c>
      <c r="B576" s="1">
        <f>IFERROR(VLOOKUP(ТабПозиции[[#This Row],[orderNum]],ТабЗаказы[#Data],MATCH(B$7,ТабЗаказы[#Headers],0),0),"")</f>
        <v>45473</v>
      </c>
      <c r="C576" t="str">
        <f>MONTH(ТабПозиции[[#This Row],[date]])&amp;"/"&amp;YEAR(ТабПозиции[[#This Row],[date]])</f>
        <v>6/2024</v>
      </c>
      <c r="D576" s="1" t="str">
        <f>IFERROR(VLOOKUP(ТабПозиции[[#This Row],[orderNum]],ТабЗаказы[#Data],MATCH(D$7,ТабЗаказы[#Headers],0),0),"")</f>
        <v/>
      </c>
      <c r="E576" s="1" t="str">
        <f>IFERROR(VLOOKUP(ТабПозиции[[#This Row],[orderNum]],ТабЗаказы[#Data],MATCH(E$7,ТабЗаказы[#Headers],0),0),"")</f>
        <v/>
      </c>
      <c r="F576" s="16" t="s">
        <v>1044</v>
      </c>
      <c r="G576" s="40" t="s">
        <v>545</v>
      </c>
      <c r="I576" s="18">
        <v>45475</v>
      </c>
      <c r="J576" s="10">
        <v>1</v>
      </c>
      <c r="K576" s="10">
        <v>2887</v>
      </c>
      <c r="L576">
        <v>2887</v>
      </c>
      <c r="M576" s="10">
        <v>3152</v>
      </c>
      <c r="N576">
        <f t="shared" si="10"/>
        <v>3152</v>
      </c>
      <c r="P5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Row],[orderNum]],ТабПозиции[orderSumm])&gt;1500),ABS(N576*VLOOKUP(ТабПозиции[[#This Row],[orderNum]],ТабЗаказы[#Data],MATCH("Percent",ТабЗаказы[#Headers],0),0))/100,200/COUNTIF(ТабПозиции[orderNum],ТабПозиции[[#This Row],[orderNum]])),0),"")</f>
        <v>473</v>
      </c>
      <c r="Q576">
        <f>IF(OR(ТабПозиции[[#This Row],[item]]="По штрихкоду",ТабПозиции[[#This Row],[item]]="Посылка"),ТабПозиции[[#This Row],[deliverySumm]]+ТабПозиции[[#This Row],[deliveryPost]],SUM(N576:P576))</f>
        <v>3625</v>
      </c>
      <c r="R576" s="41">
        <v>3625</v>
      </c>
      <c r="S576" s="46">
        <f>ТабПозиции[[#This Row],[totalSumm]]-ТабПозиции[[#This Row],[payment]]</f>
        <v>0</v>
      </c>
      <c r="T576" s="18" t="s">
        <v>960</v>
      </c>
      <c r="U576" s="40" t="s">
        <v>545</v>
      </c>
      <c r="V576" s="40" t="s">
        <v>545</v>
      </c>
      <c r="W576" s="40" t="s">
        <v>545</v>
      </c>
      <c r="X576" s="3"/>
      <c r="Y576"/>
    </row>
    <row r="577" spans="1:25" hidden="1" x14ac:dyDescent="0.25">
      <c r="A577" s="10">
        <v>158</v>
      </c>
      <c r="B577" s="1">
        <f>IFERROR(VLOOKUP(ТабПозиции[[#This Row],[orderNum]],ТабЗаказы[#Data],MATCH(B$7,ТабЗаказы[#Headers],0),0),"")</f>
        <v>45473</v>
      </c>
      <c r="C577" t="str">
        <f>MONTH(ТабПозиции[[#This Row],[date]])&amp;"/"&amp;YEAR(ТабПозиции[[#This Row],[date]])</f>
        <v>6/2024</v>
      </c>
      <c r="D577" s="1" t="str">
        <f>IFERROR(VLOOKUP(ТабПозиции[[#This Row],[orderNum]],ТабЗаказы[#Data],MATCH(D$7,ТабЗаказы[#Headers],0),0),"")</f>
        <v/>
      </c>
      <c r="E577" s="1" t="str">
        <f>IFERROR(VLOOKUP(ТабПозиции[[#This Row],[orderNum]],ТабЗаказы[#Data],MATCH(E$7,ТабЗаказы[#Headers],0),0),"")</f>
        <v/>
      </c>
      <c r="F577" s="16" t="s">
        <v>1076</v>
      </c>
      <c r="G577" s="40" t="s">
        <v>545</v>
      </c>
      <c r="I577" s="18">
        <v>45477</v>
      </c>
      <c r="J577" s="10">
        <v>1</v>
      </c>
      <c r="K577" s="10">
        <v>377</v>
      </c>
      <c r="L577">
        <v>377</v>
      </c>
      <c r="M577" s="10">
        <v>419</v>
      </c>
      <c r="N577">
        <f t="shared" si="10"/>
        <v>419</v>
      </c>
      <c r="P5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Row],[orderNum]],ТабПозиции[orderSumm])&gt;1500),ABS(N577*VLOOKUP(ТабПозиции[[#This Row],[orderNum]],ТабЗаказы[#Data],MATCH("Percent",ТабЗаказы[#Headers],0),0))/100,200/COUNTIF(ТабПозиции[orderNum],ТабПозиции[[#This Row],[orderNum]])),0),"")</f>
        <v>63</v>
      </c>
      <c r="Q577">
        <f>IF(OR(ТабПозиции[[#This Row],[item]]="По штрихкоду",ТабПозиции[[#This Row],[item]]="Посылка"),ТабПозиции[[#This Row],[deliverySumm]]+ТабПозиции[[#This Row],[deliveryPost]],SUM(N577:P577))</f>
        <v>482</v>
      </c>
      <c r="R577" s="41">
        <v>482</v>
      </c>
      <c r="S577" s="46">
        <f>ТабПозиции[[#This Row],[totalSumm]]-ТабПозиции[[#This Row],[payment]]</f>
        <v>0</v>
      </c>
      <c r="T577" s="18" t="s">
        <v>960</v>
      </c>
      <c r="U577" s="40" t="s">
        <v>545</v>
      </c>
      <c r="V577" s="40" t="s">
        <v>545</v>
      </c>
      <c r="W577" s="40" t="s">
        <v>545</v>
      </c>
      <c r="X577" s="3"/>
      <c r="Y577"/>
    </row>
    <row r="578" spans="1:25" hidden="1" x14ac:dyDescent="0.25">
      <c r="A578" s="10">
        <v>158</v>
      </c>
      <c r="B578" s="1">
        <f>IFERROR(VLOOKUP(ТабПозиции[[#This Row],[orderNum]],ТабЗаказы[#Data],MATCH(B$7,ТабЗаказы[#Headers],0),0),"")</f>
        <v>45473</v>
      </c>
      <c r="C578" t="str">
        <f>MONTH(ТабПозиции[[#This Row],[date]])&amp;"/"&amp;YEAR(ТабПозиции[[#This Row],[date]])</f>
        <v>6/2024</v>
      </c>
      <c r="D578" s="1" t="str">
        <f>IFERROR(VLOOKUP(ТабПозиции[[#This Row],[orderNum]],ТабЗаказы[#Data],MATCH(D$7,ТабЗаказы[#Headers],0),0),"")</f>
        <v/>
      </c>
      <c r="E578" s="1" t="str">
        <f>IFERROR(VLOOKUP(ТабПозиции[[#This Row],[orderNum]],ТабЗаказы[#Data],MATCH(E$7,ТабЗаказы[#Headers],0),0),"")</f>
        <v/>
      </c>
      <c r="F578" s="16" t="s">
        <v>1077</v>
      </c>
      <c r="G578" s="40" t="s">
        <v>545</v>
      </c>
      <c r="I578" s="18">
        <v>45478</v>
      </c>
      <c r="J578" s="10">
        <v>1</v>
      </c>
      <c r="K578" s="10">
        <v>318</v>
      </c>
      <c r="L578">
        <v>318</v>
      </c>
      <c r="M578" s="10">
        <v>325</v>
      </c>
      <c r="N578">
        <f t="shared" si="10"/>
        <v>325</v>
      </c>
      <c r="P5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Row],[orderNum]],ТабПозиции[orderSumm])&gt;1500),ABS(N578*VLOOKUP(ТабПозиции[[#This Row],[orderNum]],ТабЗаказы[#Data],MATCH("Percent",ТабЗаказы[#Headers],0),0))/100,200/COUNTIF(ТабПозиции[orderNum],ТабПозиции[[#This Row],[orderNum]])),0),"")</f>
        <v>49</v>
      </c>
      <c r="Q578">
        <f>IF(OR(ТабПозиции[[#This Row],[item]]="По штрихкоду",ТабПозиции[[#This Row],[item]]="Посылка"),ТабПозиции[[#This Row],[deliverySumm]]+ТабПозиции[[#This Row],[deliveryPost]],SUM(N578:P578))</f>
        <v>374</v>
      </c>
      <c r="R578" s="41">
        <v>374</v>
      </c>
      <c r="S578" s="46">
        <f>ТабПозиции[[#This Row],[totalSumm]]-ТабПозиции[[#This Row],[payment]]</f>
        <v>0</v>
      </c>
      <c r="T578" s="18" t="s">
        <v>960</v>
      </c>
      <c r="U578" s="40" t="s">
        <v>545</v>
      </c>
      <c r="V578" s="40" t="s">
        <v>545</v>
      </c>
      <c r="W578" s="40" t="s">
        <v>545</v>
      </c>
      <c r="X578" s="3"/>
      <c r="Y578"/>
    </row>
    <row r="579" spans="1:25" hidden="1" x14ac:dyDescent="0.25">
      <c r="A579" s="10">
        <v>158</v>
      </c>
      <c r="B579" s="1">
        <f>IFERROR(VLOOKUP(ТабПозиции[[#This Row],[orderNum]],ТабЗаказы[#Data],MATCH(B$7,ТабЗаказы[#Headers],0),0),"")</f>
        <v>45473</v>
      </c>
      <c r="C579" t="str">
        <f>MONTH(ТабПозиции[[#This Row],[date]])&amp;"/"&amp;YEAR(ТабПозиции[[#This Row],[date]])</f>
        <v>6/2024</v>
      </c>
      <c r="D579" s="1" t="str">
        <f>IFERROR(VLOOKUP(ТабПозиции[[#This Row],[orderNum]],ТабЗаказы[#Data],MATCH(D$7,ТабЗаказы[#Headers],0),0),"")</f>
        <v/>
      </c>
      <c r="E579" s="1" t="str">
        <f>IFERROR(VLOOKUP(ТабПозиции[[#This Row],[orderNum]],ТабЗаказы[#Data],MATCH(E$7,ТабЗаказы[#Headers],0),0),"")</f>
        <v/>
      </c>
      <c r="F579" s="16" t="s">
        <v>1078</v>
      </c>
      <c r="G579" s="40" t="s">
        <v>545</v>
      </c>
      <c r="I579" s="18">
        <v>45475</v>
      </c>
      <c r="J579" s="10">
        <v>1</v>
      </c>
      <c r="K579" s="10">
        <v>143</v>
      </c>
      <c r="L579">
        <v>143</v>
      </c>
      <c r="M579" s="10">
        <v>146</v>
      </c>
      <c r="N579">
        <f t="shared" si="10"/>
        <v>146</v>
      </c>
      <c r="P5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Row],[orderNum]],ТабПозиции[orderSumm])&gt;1500),ABS(N579*VLOOKUP(ТабПозиции[[#This Row],[orderNum]],ТабЗаказы[#Data],MATCH("Percent",ТабЗаказы[#Headers],0),0))/100,200/COUNTIF(ТабПозиции[orderNum],ТабПозиции[[#This Row],[orderNum]])),0),"")</f>
        <v>22</v>
      </c>
      <c r="Q579">
        <f>IF(OR(ТабПозиции[[#This Row],[item]]="По штрихкоду",ТабПозиции[[#This Row],[item]]="Посылка"),ТабПозиции[[#This Row],[deliverySumm]]+ТабПозиции[[#This Row],[deliveryPost]],SUM(N579:P579))</f>
        <v>168</v>
      </c>
      <c r="R579" s="41">
        <v>168</v>
      </c>
      <c r="S579" s="46">
        <f>ТабПозиции[[#This Row],[totalSumm]]-ТабПозиции[[#This Row],[payment]]</f>
        <v>0</v>
      </c>
      <c r="T579" s="18" t="s">
        <v>960</v>
      </c>
      <c r="U579" s="40" t="s">
        <v>545</v>
      </c>
      <c r="V579" s="40" t="s">
        <v>545</v>
      </c>
      <c r="W579" s="40" t="s">
        <v>545</v>
      </c>
      <c r="X579" s="3"/>
      <c r="Y579"/>
    </row>
    <row r="580" spans="1:25" hidden="1" x14ac:dyDescent="0.25">
      <c r="A580" s="10">
        <v>158</v>
      </c>
      <c r="B580" s="1">
        <f>IFERROR(VLOOKUP(ТабПозиции[[#This Row],[orderNum]],ТабЗаказы[#Data],MATCH(B$7,ТабЗаказы[#Headers],0),0),"")</f>
        <v>45473</v>
      </c>
      <c r="C580" t="str">
        <f>MONTH(ТабПозиции[[#This Row],[date]])&amp;"/"&amp;YEAR(ТабПозиции[[#This Row],[date]])</f>
        <v>6/2024</v>
      </c>
      <c r="D580" s="1" t="str">
        <f>IFERROR(VLOOKUP(ТабПозиции[[#This Row],[orderNum]],ТабЗаказы[#Data],MATCH(D$7,ТабЗаказы[#Headers],0),0),"")</f>
        <v/>
      </c>
      <c r="E580" s="1" t="str">
        <f>IFERROR(VLOOKUP(ТабПозиции[[#This Row],[orderNum]],ТабЗаказы[#Data],MATCH(E$7,ТабЗаказы[#Headers],0),0),"")</f>
        <v/>
      </c>
      <c r="F580" s="16" t="s">
        <v>1079</v>
      </c>
      <c r="G580" s="40" t="s">
        <v>545</v>
      </c>
      <c r="I580" s="18">
        <v>45480</v>
      </c>
      <c r="J580" s="10">
        <v>1</v>
      </c>
      <c r="K580" s="10">
        <v>1053</v>
      </c>
      <c r="L580">
        <v>1053</v>
      </c>
      <c r="M580" s="10">
        <v>1170</v>
      </c>
      <c r="N580">
        <f t="shared" si="10"/>
        <v>1170</v>
      </c>
      <c r="P5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Row],[orderNum]],ТабПозиции[orderSumm])&gt;1500),ABS(N580*VLOOKUP(ТабПозиции[[#This Row],[orderNum]],ТабЗаказы[#Data],MATCH("Percent",ТабЗаказы[#Headers],0),0))/100,200/COUNTIF(ТабПозиции[orderNum],ТабПозиции[[#This Row],[orderNum]])),0),"")</f>
        <v>176</v>
      </c>
      <c r="Q580">
        <f>IF(OR(ТабПозиции[[#This Row],[item]]="По штрихкоду",ТабПозиции[[#This Row],[item]]="Посылка"),ТабПозиции[[#This Row],[deliverySumm]]+ТабПозиции[[#This Row],[deliveryPost]],SUM(N580:P580))</f>
        <v>1346</v>
      </c>
      <c r="R580" s="41">
        <v>1346</v>
      </c>
      <c r="S580" s="46">
        <f>ТабПозиции[[#This Row],[totalSumm]]-ТабПозиции[[#This Row],[payment]]</f>
        <v>0</v>
      </c>
      <c r="T580" s="18" t="s">
        <v>960</v>
      </c>
      <c r="U580" s="40" t="s">
        <v>552</v>
      </c>
      <c r="V580" s="40" t="s">
        <v>545</v>
      </c>
      <c r="W580" s="40" t="s">
        <v>545</v>
      </c>
      <c r="X580" s="3"/>
      <c r="Y580"/>
    </row>
    <row r="581" spans="1:25" hidden="1" x14ac:dyDescent="0.25">
      <c r="A581" s="10">
        <v>158</v>
      </c>
      <c r="B581" s="1">
        <f>IFERROR(VLOOKUP(ТабПозиции[[#This Row],[orderNum]],ТабЗаказы[#Data],MATCH(B$7,ТабЗаказы[#Headers],0),0),"")</f>
        <v>45473</v>
      </c>
      <c r="C581" t="str">
        <f>MONTH(ТабПозиции[[#This Row],[date]])&amp;"/"&amp;YEAR(ТабПозиции[[#This Row],[date]])</f>
        <v>6/2024</v>
      </c>
      <c r="D581" s="1" t="str">
        <f>IFERROR(VLOOKUP(ТабПозиции[[#This Row],[orderNum]],ТабЗаказы[#Data],MATCH(D$7,ТабЗаказы[#Headers],0),0),"")</f>
        <v/>
      </c>
      <c r="E581" s="1" t="str">
        <f>IFERROR(VLOOKUP(ТабПозиции[[#This Row],[orderNum]],ТабЗаказы[#Data],MATCH(E$7,ТабЗаказы[#Headers],0),0),"")</f>
        <v/>
      </c>
      <c r="F581" s="16" t="s">
        <v>838</v>
      </c>
      <c r="G581" s="40" t="s">
        <v>545</v>
      </c>
      <c r="I581" s="18">
        <v>45475</v>
      </c>
      <c r="J581" s="10">
        <v>1</v>
      </c>
      <c r="K581" s="10">
        <v>362</v>
      </c>
      <c r="L581">
        <v>362</v>
      </c>
      <c r="M581" s="10">
        <v>369</v>
      </c>
      <c r="N581">
        <f t="shared" si="10"/>
        <v>369</v>
      </c>
      <c r="P5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Row],[orderNum]],ТабПозиции[orderSumm])&gt;1500),ABS(N581*VLOOKUP(ТабПозиции[[#This Row],[orderNum]],ТабЗаказы[#Data],MATCH("Percent",ТабЗаказы[#Headers],0),0))/100,200/COUNTIF(ТабПозиции[orderNum],ТабПозиции[[#This Row],[orderNum]])),0),"")</f>
        <v>55</v>
      </c>
      <c r="Q581">
        <f>IF(OR(ТабПозиции[[#This Row],[item]]="По штрихкоду",ТабПозиции[[#This Row],[item]]="Посылка"),ТабПозиции[[#This Row],[deliverySumm]]+ТабПозиции[[#This Row],[deliveryPost]],SUM(N581:P581))</f>
        <v>424</v>
      </c>
      <c r="R581" s="41">
        <v>424</v>
      </c>
      <c r="S581" s="46">
        <f>ТабПозиции[[#This Row],[totalSumm]]-ТабПозиции[[#This Row],[payment]]</f>
        <v>0</v>
      </c>
      <c r="T581" s="18" t="s">
        <v>960</v>
      </c>
      <c r="U581" s="40" t="s">
        <v>552</v>
      </c>
      <c r="V581" s="40" t="s">
        <v>545</v>
      </c>
      <c r="W581" s="40" t="s">
        <v>545</v>
      </c>
      <c r="X581" s="3"/>
      <c r="Y581"/>
    </row>
    <row r="582" spans="1:25" hidden="1" x14ac:dyDescent="0.25">
      <c r="A582" s="10">
        <v>159</v>
      </c>
      <c r="B582" s="1">
        <f>IFERROR(VLOOKUP(ТабПозиции[[#This Row],[orderNum]],ТабЗаказы[#Data],MATCH(B$7,ТабЗаказы[#Headers],0),0),"")</f>
        <v>45474</v>
      </c>
      <c r="C582" t="str">
        <f>MONTH(ТабПозиции[[#This Row],[date]])&amp;"/"&amp;YEAR(ТабПозиции[[#This Row],[date]])</f>
        <v>7/2024</v>
      </c>
      <c r="D582" s="1" t="str">
        <f>IFERROR(VLOOKUP(ТабПозиции[[#This Row],[orderNum]],ТабЗаказы[#Data],MATCH(D$7,ТабЗаказы[#Headers],0),0),"")</f>
        <v/>
      </c>
      <c r="E582" s="1" t="str">
        <f>IFERROR(VLOOKUP(ТабПозиции[[#This Row],[orderNum]],ТабЗаказы[#Data],MATCH(E$7,ТабЗаказы[#Headers],0),0),"")</f>
        <v/>
      </c>
      <c r="F582" s="16" t="s">
        <v>1080</v>
      </c>
      <c r="G582" s="40" t="s">
        <v>545</v>
      </c>
      <c r="H582" s="12" t="s">
        <v>1081</v>
      </c>
      <c r="I582" s="18">
        <v>45483</v>
      </c>
      <c r="J582" s="10">
        <v>1</v>
      </c>
      <c r="K582" s="10">
        <v>13000</v>
      </c>
      <c r="L582">
        <v>13000</v>
      </c>
      <c r="M582" s="10">
        <v>13000</v>
      </c>
      <c r="N582">
        <f t="shared" si="10"/>
        <v>13000</v>
      </c>
      <c r="O582" s="10">
        <v>562</v>
      </c>
      <c r="P5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Row],[orderNum]],ТабПозиции[orderSumm])&gt;1500),ABS(N582*VLOOKUP(ТабПозиции[[#This Row],[orderNum]],ТабЗаказы[#Data],MATCH("Percent",ТабЗаказы[#Headers],0),0))/100,200/COUNTIF(ТабПозиции[orderNum],ТабПозиции[[#This Row],[orderNum]])),0),"")</f>
        <v>1300</v>
      </c>
      <c r="Q582">
        <f>IF(OR(ТабПозиции[[#This Row],[item]]="По штрихкоду",ТабПозиции[[#This Row],[item]]="Посылка"),ТабПозиции[[#This Row],[deliverySumm]]+ТабПозиции[[#This Row],[deliveryPost]],SUM(N582:P582))</f>
        <v>14862</v>
      </c>
      <c r="R582" s="10">
        <v>14862</v>
      </c>
      <c r="S582" s="46">
        <f>ТабПозиции[[#This Row],[totalSumm]]-ТабПозиции[[#This Row],[payment]]</f>
        <v>0</v>
      </c>
      <c r="T582" s="18" t="s">
        <v>1021</v>
      </c>
      <c r="U582" s="40" t="s">
        <v>552</v>
      </c>
      <c r="V582" s="40" t="s">
        <v>545</v>
      </c>
      <c r="W582" s="40" t="s">
        <v>545</v>
      </c>
      <c r="X582" s="3"/>
      <c r="Y582"/>
    </row>
    <row r="583" spans="1:25" hidden="1" x14ac:dyDescent="0.25">
      <c r="A583" s="10">
        <v>160</v>
      </c>
      <c r="B583" s="1">
        <f>IFERROR(VLOOKUP(ТабПозиции[[#This Row],[orderNum]],ТабЗаказы[#Data],MATCH(B$7,ТабЗаказы[#Headers],0),0),"")</f>
        <v>45474</v>
      </c>
      <c r="C583" t="str">
        <f>MONTH(ТабПозиции[[#This Row],[date]])&amp;"/"&amp;YEAR(ТабПозиции[[#This Row],[date]])</f>
        <v>7/2024</v>
      </c>
      <c r="D583" s="1" t="str">
        <f>IFERROR(VLOOKUP(ТабПозиции[[#This Row],[orderNum]],ТабЗаказы[#Data],MATCH(D$7,ТабЗаказы[#Headers],0),0),"")</f>
        <v/>
      </c>
      <c r="E583" s="1" t="str">
        <f>IFERROR(VLOOKUP(ТабПозиции[[#This Row],[orderNum]],ТабЗаказы[#Data],MATCH(E$7,ТабЗаказы[#Headers],0),0),"")</f>
        <v/>
      </c>
      <c r="F583" s="16" t="s">
        <v>1082</v>
      </c>
      <c r="G583" s="40" t="s">
        <v>545</v>
      </c>
      <c r="I583" s="18">
        <v>45477</v>
      </c>
      <c r="J583" s="10">
        <v>1</v>
      </c>
      <c r="K583" s="10">
        <v>384</v>
      </c>
      <c r="L583">
        <v>384</v>
      </c>
      <c r="M583" s="10">
        <v>405</v>
      </c>
      <c r="N583">
        <f t="shared" si="10"/>
        <v>405</v>
      </c>
      <c r="P5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Row],[orderNum]],ТабПозиции[orderSumm])&gt;1500),ABS(N583*VLOOKUP(ТабПозиции[[#This Row],[orderNum]],ТабЗаказы[#Data],MATCH("Percent",ТабЗаказы[#Headers],0),0))/100,200/COUNTIF(ТабПозиции[orderNum],ТабПозиции[[#This Row],[orderNum]])),0),"")</f>
        <v>61</v>
      </c>
      <c r="Q583">
        <f>IF(OR(ТабПозиции[[#This Row],[item]]="По штрихкоду",ТабПозиции[[#This Row],[item]]="Посылка"),ТабПозиции[[#This Row],[deliverySumm]]+ТабПозиции[[#This Row],[deliveryPost]],SUM(N583:P583))</f>
        <v>466</v>
      </c>
      <c r="R583" s="41">
        <v>466</v>
      </c>
      <c r="S583" s="46">
        <f>ТабПозиции[[#This Row],[totalSumm]]-ТабПозиции[[#This Row],[payment]]</f>
        <v>0</v>
      </c>
      <c r="T583" s="18" t="s">
        <v>970</v>
      </c>
      <c r="U583" s="40" t="s">
        <v>545</v>
      </c>
      <c r="V583" s="40" t="s">
        <v>545</v>
      </c>
      <c r="W583" s="40" t="s">
        <v>545</v>
      </c>
      <c r="X583" s="3"/>
      <c r="Y583"/>
    </row>
    <row r="584" spans="1:25" hidden="1" x14ac:dyDescent="0.25">
      <c r="A584" s="10">
        <v>160</v>
      </c>
      <c r="B584" s="1">
        <f>IFERROR(VLOOKUP(ТабПозиции[[#This Row],[orderNum]],ТабЗаказы[#Data],MATCH(B$7,ТабЗаказы[#Headers],0),0),"")</f>
        <v>45474</v>
      </c>
      <c r="C584" t="str">
        <f>MONTH(ТабПозиции[[#This Row],[date]])&amp;"/"&amp;YEAR(ТабПозиции[[#This Row],[date]])</f>
        <v>7/2024</v>
      </c>
      <c r="D584" s="1" t="str">
        <f>IFERROR(VLOOKUP(ТабПозиции[[#This Row],[orderNum]],ТабЗаказы[#Data],MATCH(D$7,ТабЗаказы[#Headers],0),0),"")</f>
        <v/>
      </c>
      <c r="E584" s="1" t="str">
        <f>IFERROR(VLOOKUP(ТабПозиции[[#This Row],[orderNum]],ТабЗаказы[#Data],MATCH(E$7,ТабЗаказы[#Headers],0),0),"")</f>
        <v/>
      </c>
      <c r="F584" s="16" t="s">
        <v>1083</v>
      </c>
      <c r="G584" s="40" t="s">
        <v>545</v>
      </c>
      <c r="I584" s="18">
        <v>45477</v>
      </c>
      <c r="J584" s="10">
        <v>1</v>
      </c>
      <c r="K584" s="10">
        <v>94</v>
      </c>
      <c r="L584">
        <v>94</v>
      </c>
      <c r="M584" s="10">
        <v>96</v>
      </c>
      <c r="N584">
        <f t="shared" si="10"/>
        <v>96</v>
      </c>
      <c r="P5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Row],[orderNum]],ТабПозиции[orderSumm])&gt;1500),ABS(N584*VLOOKUP(ТабПозиции[[#This Row],[orderNum]],ТабЗаказы[#Data],MATCH("Percent",ТабЗаказы[#Headers],0),0))/100,200/COUNTIF(ТабПозиции[orderNum],ТабПозиции[[#This Row],[orderNum]])),0),"")</f>
        <v>14</v>
      </c>
      <c r="Q584">
        <f>IF(OR(ТабПозиции[[#This Row],[item]]="По штрихкоду",ТабПозиции[[#This Row],[item]]="Посылка"),ТабПозиции[[#This Row],[deliverySumm]]+ТабПозиции[[#This Row],[deliveryPost]],SUM(N584:P584))</f>
        <v>110</v>
      </c>
      <c r="R584" s="41">
        <v>110</v>
      </c>
      <c r="S584" s="46">
        <f>ТабПозиции[[#This Row],[totalSumm]]-ТабПозиции[[#This Row],[payment]]</f>
        <v>0</v>
      </c>
      <c r="T584" s="18" t="s">
        <v>960</v>
      </c>
      <c r="U584" s="40" t="s">
        <v>545</v>
      </c>
      <c r="V584" s="40" t="s">
        <v>545</v>
      </c>
      <c r="W584" s="40" t="s">
        <v>545</v>
      </c>
      <c r="X584" s="3"/>
      <c r="Y584"/>
    </row>
    <row r="585" spans="1:25" hidden="1" x14ac:dyDescent="0.25">
      <c r="A585" s="10">
        <v>160</v>
      </c>
      <c r="B585" s="1">
        <f>IFERROR(VLOOKUP(ТабПозиции[[#This Row],[orderNum]],ТабЗаказы[#Data],MATCH(B$7,ТабЗаказы[#Headers],0),0),"")</f>
        <v>45474</v>
      </c>
      <c r="C585" t="str">
        <f>MONTH(ТабПозиции[[#This Row],[date]])&amp;"/"&amp;YEAR(ТабПозиции[[#This Row],[date]])</f>
        <v>7/2024</v>
      </c>
      <c r="D585" s="1" t="str">
        <f>IFERROR(VLOOKUP(ТабПозиции[[#This Row],[orderNum]],ТабЗаказы[#Data],MATCH(D$7,ТабЗаказы[#Headers],0),0),"")</f>
        <v/>
      </c>
      <c r="E585" s="1" t="str">
        <f>IFERROR(VLOOKUP(ТабПозиции[[#This Row],[orderNum]],ТабЗаказы[#Data],MATCH(E$7,ТабЗаказы[#Headers],0),0),"")</f>
        <v/>
      </c>
      <c r="F585" s="16" t="s">
        <v>1084</v>
      </c>
      <c r="G585" s="40" t="s">
        <v>545</v>
      </c>
      <c r="I585" s="18">
        <v>45476</v>
      </c>
      <c r="J585" s="10">
        <v>1</v>
      </c>
      <c r="K585" s="10">
        <v>196</v>
      </c>
      <c r="L585">
        <v>196</v>
      </c>
      <c r="M585" s="10">
        <v>200</v>
      </c>
      <c r="N585">
        <f t="shared" si="10"/>
        <v>200</v>
      </c>
      <c r="P5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Row],[orderNum]],ТабПозиции[orderSumm])&gt;1500),ABS(N585*VLOOKUP(ТабПозиции[[#This Row],[orderNum]],ТабЗаказы[#Data],MATCH("Percent",ТабЗаказы[#Headers],0),0))/100,200/COUNTIF(ТабПозиции[orderNum],ТабПозиции[[#This Row],[orderNum]])),0),"")</f>
        <v>30</v>
      </c>
      <c r="Q585">
        <f>IF(OR(ТабПозиции[[#This Row],[item]]="По штрихкоду",ТабПозиции[[#This Row],[item]]="Посылка"),ТабПозиции[[#This Row],[deliverySumm]]+ТабПозиции[[#This Row],[deliveryPost]],SUM(N585:P585))</f>
        <v>230</v>
      </c>
      <c r="R585" s="41">
        <v>230</v>
      </c>
      <c r="S585" s="46">
        <f>ТабПозиции[[#This Row],[totalSumm]]-ТабПозиции[[#This Row],[payment]]</f>
        <v>0</v>
      </c>
      <c r="T585" s="18" t="s">
        <v>960</v>
      </c>
      <c r="U585" s="40" t="s">
        <v>545</v>
      </c>
      <c r="V585" s="40" t="s">
        <v>545</v>
      </c>
      <c r="W585" s="40" t="s">
        <v>545</v>
      </c>
      <c r="X585" s="3"/>
      <c r="Y585"/>
    </row>
    <row r="586" spans="1:25" hidden="1" x14ac:dyDescent="0.25">
      <c r="A586" s="10">
        <v>160</v>
      </c>
      <c r="B586" s="1">
        <f>IFERROR(VLOOKUP(ТабПозиции[[#This Row],[orderNum]],ТабЗаказы[#Data],MATCH(B$7,ТабЗаказы[#Headers],0),0),"")</f>
        <v>45474</v>
      </c>
      <c r="C586" t="str">
        <f>MONTH(ТабПозиции[[#This Row],[date]])&amp;"/"&amp;YEAR(ТабПозиции[[#This Row],[date]])</f>
        <v>7/2024</v>
      </c>
      <c r="D586" s="1" t="str">
        <f>IFERROR(VLOOKUP(ТабПозиции[[#This Row],[orderNum]],ТабЗаказы[#Data],MATCH(D$7,ТабЗаказы[#Headers],0),0),"")</f>
        <v/>
      </c>
      <c r="E586" s="1" t="str">
        <f>IFERROR(VLOOKUP(ТабПозиции[[#This Row],[orderNum]],ТабЗаказы[#Data],MATCH(E$7,ТабЗаказы[#Headers],0),0),"")</f>
        <v/>
      </c>
      <c r="F586" s="16" t="s">
        <v>1085</v>
      </c>
      <c r="G586" s="40" t="s">
        <v>545</v>
      </c>
      <c r="I586" s="18">
        <v>45481</v>
      </c>
      <c r="J586" s="10">
        <v>1</v>
      </c>
      <c r="K586" s="10">
        <v>178</v>
      </c>
      <c r="L586">
        <v>178</v>
      </c>
      <c r="M586" s="10">
        <v>182</v>
      </c>
      <c r="N586">
        <f t="shared" si="10"/>
        <v>182</v>
      </c>
      <c r="P5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Row],[orderNum]],ТабПозиции[orderSumm])&gt;1500),ABS(N586*VLOOKUP(ТабПозиции[[#This Row],[orderNum]],ТабЗаказы[#Data],MATCH("Percent",ТабЗаказы[#Headers],0),0))/100,200/COUNTIF(ТабПозиции[orderNum],ТабПозиции[[#This Row],[orderNum]])),0),"")</f>
        <v>27</v>
      </c>
      <c r="Q586">
        <f>IF(OR(ТабПозиции[[#This Row],[item]]="По штрихкоду",ТабПозиции[[#This Row],[item]]="Посылка"),ТабПозиции[[#This Row],[deliverySumm]]+ТабПозиции[[#This Row],[deliveryPost]],SUM(N586:P586))</f>
        <v>209</v>
      </c>
      <c r="R586" s="41">
        <v>209</v>
      </c>
      <c r="S586" s="46">
        <f>ТабПозиции[[#This Row],[totalSumm]]-ТабПозиции[[#This Row],[payment]]</f>
        <v>0</v>
      </c>
      <c r="T586" s="18" t="s">
        <v>960</v>
      </c>
      <c r="U586" s="40" t="s">
        <v>545</v>
      </c>
      <c r="V586" s="40" t="s">
        <v>545</v>
      </c>
      <c r="W586" s="40" t="s">
        <v>545</v>
      </c>
      <c r="X586" s="3"/>
      <c r="Y586"/>
    </row>
    <row r="587" spans="1:25" hidden="1" x14ac:dyDescent="0.25">
      <c r="A587" s="10">
        <v>160</v>
      </c>
      <c r="B587" s="1">
        <f>IFERROR(VLOOKUP(ТабПозиции[[#This Row],[orderNum]],ТабЗаказы[#Data],MATCH(B$7,ТабЗаказы[#Headers],0),0),"")</f>
        <v>45474</v>
      </c>
      <c r="C587" t="str">
        <f>MONTH(ТабПозиции[[#This Row],[date]])&amp;"/"&amp;YEAR(ТабПозиции[[#This Row],[date]])</f>
        <v>7/2024</v>
      </c>
      <c r="D587" s="1" t="str">
        <f>IFERROR(VLOOKUP(ТабПозиции[[#This Row],[orderNum]],ТабЗаказы[#Data],MATCH(D$7,ТабЗаказы[#Headers],0),0),"")</f>
        <v/>
      </c>
      <c r="E587" s="1" t="str">
        <f>IFERROR(VLOOKUP(ТабПозиции[[#This Row],[orderNum]],ТабЗаказы[#Data],MATCH(E$7,ТабЗаказы[#Headers],0),0),"")</f>
        <v/>
      </c>
      <c r="F587" s="16" t="s">
        <v>1086</v>
      </c>
      <c r="G587" s="40" t="s">
        <v>545</v>
      </c>
      <c r="I587" s="18">
        <v>45476</v>
      </c>
      <c r="J587" s="10">
        <v>1</v>
      </c>
      <c r="K587" s="10">
        <v>312</v>
      </c>
      <c r="L587">
        <v>312</v>
      </c>
      <c r="M587" s="10">
        <v>318</v>
      </c>
      <c r="N587">
        <f t="shared" si="10"/>
        <v>318</v>
      </c>
      <c r="P5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Row],[orderNum]],ТабПозиции[orderSumm])&gt;1500),ABS(N587*VLOOKUP(ТабПозиции[[#This Row],[orderNum]],ТабЗаказы[#Data],MATCH("Percent",ТабЗаказы[#Headers],0),0))/100,200/COUNTIF(ТабПозиции[orderNum],ТабПозиции[[#This Row],[orderNum]])),0),"")</f>
        <v>48</v>
      </c>
      <c r="Q587">
        <f>IF(OR(ТабПозиции[[#This Row],[item]]="По штрихкоду",ТабПозиции[[#This Row],[item]]="Посылка"),ТабПозиции[[#This Row],[deliverySumm]]+ТабПозиции[[#This Row],[deliveryPost]],SUM(N587:P587))</f>
        <v>366</v>
      </c>
      <c r="R587" s="41">
        <v>366</v>
      </c>
      <c r="S587" s="46">
        <f>ТабПозиции[[#This Row],[totalSumm]]-ТабПозиции[[#This Row],[payment]]</f>
        <v>0</v>
      </c>
      <c r="T587" s="18" t="s">
        <v>960</v>
      </c>
      <c r="U587" s="40" t="s">
        <v>545</v>
      </c>
      <c r="V587" s="40" t="s">
        <v>545</v>
      </c>
      <c r="W587" s="40" t="s">
        <v>545</v>
      </c>
      <c r="X587" s="3"/>
      <c r="Y587"/>
    </row>
    <row r="588" spans="1:25" hidden="1" x14ac:dyDescent="0.25">
      <c r="A588" s="10">
        <v>160</v>
      </c>
      <c r="B588" s="1">
        <f>IFERROR(VLOOKUP(ТабПозиции[[#This Row],[orderNum]],ТабЗаказы[#Data],MATCH(B$7,ТабЗаказы[#Headers],0),0),"")</f>
        <v>45474</v>
      </c>
      <c r="C588" t="str">
        <f>MONTH(ТабПозиции[[#This Row],[date]])&amp;"/"&amp;YEAR(ТабПозиции[[#This Row],[date]])</f>
        <v>7/2024</v>
      </c>
      <c r="D588" s="1" t="str">
        <f>IFERROR(VLOOKUP(ТабПозиции[[#This Row],[orderNum]],ТабЗаказы[#Data],MATCH(D$7,ТабЗаказы[#Headers],0),0),"")</f>
        <v/>
      </c>
      <c r="E588" s="1" t="str">
        <f>IFERROR(VLOOKUP(ТабПозиции[[#This Row],[orderNum]],ТабЗаказы[#Data],MATCH(E$7,ТабЗаказы[#Headers],0),0),"")</f>
        <v/>
      </c>
      <c r="F588" s="16" t="s">
        <v>1087</v>
      </c>
      <c r="G588" s="40" t="s">
        <v>545</v>
      </c>
      <c r="I588" s="18">
        <v>45476</v>
      </c>
      <c r="J588" s="10">
        <v>1</v>
      </c>
      <c r="K588" s="10">
        <v>224</v>
      </c>
      <c r="L588">
        <v>224</v>
      </c>
      <c r="M588" s="10">
        <v>229</v>
      </c>
      <c r="N588">
        <f t="shared" si="10"/>
        <v>229</v>
      </c>
      <c r="P5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Row],[orderNum]],ТабПозиции[orderSumm])&gt;1500),ABS(N588*VLOOKUP(ТабПозиции[[#This Row],[orderNum]],ТабЗаказы[#Data],MATCH("Percent",ТабЗаказы[#Headers],0),0))/100,200/COUNTIF(ТабПозиции[orderNum],ТабПозиции[[#This Row],[orderNum]])),0),"")</f>
        <v>34</v>
      </c>
      <c r="Q588">
        <f>IF(OR(ТабПозиции[[#This Row],[item]]="По штрихкоду",ТабПозиции[[#This Row],[item]]="Посылка"),ТабПозиции[[#This Row],[deliverySumm]]+ТабПозиции[[#This Row],[deliveryPost]],SUM(N588:P588))</f>
        <v>263</v>
      </c>
      <c r="R588" s="41">
        <v>263</v>
      </c>
      <c r="S588" s="46">
        <f>ТабПозиции[[#This Row],[totalSumm]]-ТабПозиции[[#This Row],[payment]]</f>
        <v>0</v>
      </c>
      <c r="T588" s="18" t="s">
        <v>960</v>
      </c>
      <c r="U588" s="40" t="s">
        <v>545</v>
      </c>
      <c r="V588" s="40" t="s">
        <v>545</v>
      </c>
      <c r="W588" s="40" t="s">
        <v>545</v>
      </c>
      <c r="X588" s="3"/>
      <c r="Y588"/>
    </row>
    <row r="589" spans="1:25" hidden="1" x14ac:dyDescent="0.25">
      <c r="A589" s="10">
        <v>160</v>
      </c>
      <c r="B589" s="1">
        <f>IFERROR(VLOOKUP(ТабПозиции[[#This Row],[orderNum]],ТабЗаказы[#Data],MATCH(B$7,ТабЗаказы[#Headers],0),0),"")</f>
        <v>45474</v>
      </c>
      <c r="C589" t="str">
        <f>MONTH(ТабПозиции[[#This Row],[date]])&amp;"/"&amp;YEAR(ТабПозиции[[#This Row],[date]])</f>
        <v>7/2024</v>
      </c>
      <c r="D589" s="1" t="str">
        <f>IFERROR(VLOOKUP(ТабПозиции[[#This Row],[orderNum]],ТабЗаказы[#Data],MATCH(D$7,ТабЗаказы[#Headers],0),0),"")</f>
        <v/>
      </c>
      <c r="E589" s="1" t="str">
        <f>IFERROR(VLOOKUP(ТабПозиции[[#This Row],[orderNum]],ТабЗаказы[#Data],MATCH(E$7,ТабЗаказы[#Headers],0),0),"")</f>
        <v/>
      </c>
      <c r="F589" s="16" t="s">
        <v>1088</v>
      </c>
      <c r="G589" s="40" t="s">
        <v>545</v>
      </c>
      <c r="H589" s="12" t="s">
        <v>1089</v>
      </c>
      <c r="I589" s="18">
        <v>45503</v>
      </c>
      <c r="J589" s="10">
        <v>1</v>
      </c>
      <c r="K589" s="10">
        <v>237</v>
      </c>
      <c r="L589">
        <v>237</v>
      </c>
      <c r="M589" s="10">
        <v>268</v>
      </c>
      <c r="N589">
        <f t="shared" si="10"/>
        <v>268</v>
      </c>
      <c r="P5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Row],[orderNum]],ТабПозиции[orderSumm])&gt;1500),ABS(N589*VLOOKUP(ТабПозиции[[#This Row],[orderNum]],ТабЗаказы[#Data],MATCH("Percent",ТабЗаказы[#Headers],0),0))/100,200/COUNTIF(ТабПозиции[orderNum],ТабПозиции[[#This Row],[orderNum]])),0),"")</f>
        <v>40</v>
      </c>
      <c r="Q589">
        <f>IF(OR(ТабПозиции[[#This Row],[item]]="По штрихкоду",ТабПозиции[[#This Row],[item]]="Посылка"),ТабПозиции[[#This Row],[deliverySumm]]+ТабПозиции[[#This Row],[deliveryPost]],SUM(N589:P589))</f>
        <v>308</v>
      </c>
      <c r="R589" s="41">
        <v>308</v>
      </c>
      <c r="S589" s="46">
        <f>ТабПозиции[[#This Row],[totalSumm]]-ТабПозиции[[#This Row],[payment]]</f>
        <v>0</v>
      </c>
      <c r="T589" s="18" t="s">
        <v>1016</v>
      </c>
      <c r="U589" s="40" t="s">
        <v>545</v>
      </c>
      <c r="V589" s="40" t="s">
        <v>545</v>
      </c>
      <c r="W589" s="40" t="s">
        <v>545</v>
      </c>
      <c r="X589" s="3"/>
      <c r="Y589"/>
    </row>
    <row r="590" spans="1:25" hidden="1" x14ac:dyDescent="0.25">
      <c r="A590" s="10">
        <v>160</v>
      </c>
      <c r="B590" s="1">
        <f>IFERROR(VLOOKUP(ТабПозиции[[#This Row],[orderNum]],ТабЗаказы[#Data],MATCH(B$7,ТабЗаказы[#Headers],0),0),"")</f>
        <v>45474</v>
      </c>
      <c r="C590" t="str">
        <f>MONTH(ТабПозиции[[#This Row],[date]])&amp;"/"&amp;YEAR(ТабПозиции[[#This Row],[date]])</f>
        <v>7/2024</v>
      </c>
      <c r="D590" s="1" t="str">
        <f>IFERROR(VLOOKUP(ТабПозиции[[#This Row],[orderNum]],ТабЗаказы[#Data],MATCH(D$7,ТабЗаказы[#Headers],0),0),"")</f>
        <v/>
      </c>
      <c r="E590" s="1" t="str">
        <f>IFERROR(VLOOKUP(ТабПозиции[[#This Row],[orderNum]],ТабЗаказы[#Data],MATCH(E$7,ТабЗаказы[#Headers],0),0),"")</f>
        <v/>
      </c>
      <c r="F590" s="16" t="s">
        <v>1090</v>
      </c>
      <c r="G590" s="40" t="s">
        <v>545</v>
      </c>
      <c r="I590" s="18">
        <v>45488</v>
      </c>
      <c r="J590" s="10">
        <v>1</v>
      </c>
      <c r="K590" s="10">
        <v>92</v>
      </c>
      <c r="L590">
        <v>92</v>
      </c>
      <c r="M590" s="10">
        <v>105</v>
      </c>
      <c r="N590">
        <f t="shared" si="10"/>
        <v>105</v>
      </c>
      <c r="P5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Row],[orderNum]],ТабПозиции[orderSumm])&gt;1500),ABS(N590*VLOOKUP(ТабПозиции[[#This Row],[orderNum]],ТабЗаказы[#Data],MATCH("Percent",ТабЗаказы[#Headers],0),0))/100,200/COUNTIF(ТабПозиции[orderNum],ТабПозиции[[#This Row],[orderNum]])),0),"")</f>
        <v>16</v>
      </c>
      <c r="Q590">
        <f>IF(OR(ТабПозиции[[#This Row],[item]]="По штрихкоду",ТабПозиции[[#This Row],[item]]="Посылка"),ТабПозиции[[#This Row],[deliverySumm]]+ТабПозиции[[#This Row],[deliveryPost]],SUM(N590:P590))</f>
        <v>121</v>
      </c>
      <c r="R590" s="41">
        <v>121</v>
      </c>
      <c r="S590" s="46">
        <f>ТабПозиции[[#This Row],[totalSumm]]-ТабПозиции[[#This Row],[payment]]</f>
        <v>0</v>
      </c>
      <c r="T590" s="18" t="s">
        <v>960</v>
      </c>
      <c r="U590" s="40" t="s">
        <v>545</v>
      </c>
      <c r="V590" s="40" t="s">
        <v>545</v>
      </c>
      <c r="W590" s="40" t="s">
        <v>545</v>
      </c>
      <c r="X590" s="3"/>
      <c r="Y590"/>
    </row>
    <row r="591" spans="1:25" hidden="1" x14ac:dyDescent="0.25">
      <c r="A591" s="10">
        <v>160</v>
      </c>
      <c r="B591" s="1">
        <f>IFERROR(VLOOKUP(ТабПозиции[[#This Row],[orderNum]],ТабЗаказы[#Data],MATCH(B$7,ТабЗаказы[#Headers],0),0),"")</f>
        <v>45474</v>
      </c>
      <c r="C591" t="str">
        <f>MONTH(ТабПозиции[[#This Row],[date]])&amp;"/"&amp;YEAR(ТабПозиции[[#This Row],[date]])</f>
        <v>7/2024</v>
      </c>
      <c r="D591" s="1" t="str">
        <f>IFERROR(VLOOKUP(ТабПозиции[[#This Row],[orderNum]],ТабЗаказы[#Data],MATCH(D$7,ТабЗаказы[#Headers],0),0),"")</f>
        <v/>
      </c>
      <c r="E591" s="1" t="str">
        <f>IFERROR(VLOOKUP(ТабПозиции[[#This Row],[orderNum]],ТабЗаказы[#Data],MATCH(E$7,ТабЗаказы[#Headers],0),0),"")</f>
        <v/>
      </c>
      <c r="F591" s="16" t="s">
        <v>1091</v>
      </c>
      <c r="G591" s="40" t="s">
        <v>545</v>
      </c>
      <c r="I591" s="18">
        <v>45478</v>
      </c>
      <c r="J591" s="10">
        <v>1</v>
      </c>
      <c r="K591" s="10">
        <v>175</v>
      </c>
      <c r="L591">
        <v>175</v>
      </c>
      <c r="M591" s="10">
        <v>179</v>
      </c>
      <c r="N591">
        <f t="shared" si="10"/>
        <v>179</v>
      </c>
      <c r="P5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Row],[orderNum]],ТабПозиции[orderSumm])&gt;1500),ABS(N591*VLOOKUP(ТабПозиции[[#This Row],[orderNum]],ТабЗаказы[#Data],MATCH("Percent",ТабЗаказы[#Headers],0),0))/100,200/COUNTIF(ТабПозиции[orderNum],ТабПозиции[[#This Row],[orderNum]])),0),"")</f>
        <v>27</v>
      </c>
      <c r="Q591">
        <f>IF(OR(ТабПозиции[[#This Row],[item]]="По штрихкоду",ТабПозиции[[#This Row],[item]]="Посылка"),ТабПозиции[[#This Row],[deliverySumm]]+ТабПозиции[[#This Row],[deliveryPost]],SUM(N591:P591))</f>
        <v>206</v>
      </c>
      <c r="R591" s="41">
        <v>206</v>
      </c>
      <c r="S591" s="46">
        <f>ТабПозиции[[#This Row],[totalSumm]]-ТабПозиции[[#This Row],[payment]]</f>
        <v>0</v>
      </c>
      <c r="T591" s="18" t="s">
        <v>960</v>
      </c>
      <c r="U591" s="40" t="s">
        <v>545</v>
      </c>
      <c r="V591" s="40" t="s">
        <v>545</v>
      </c>
      <c r="W591" s="40" t="s">
        <v>545</v>
      </c>
      <c r="X591" s="3"/>
      <c r="Y591"/>
    </row>
    <row r="592" spans="1:25" hidden="1" x14ac:dyDescent="0.25">
      <c r="A592" s="10">
        <v>160</v>
      </c>
      <c r="B592" s="1">
        <f>IFERROR(VLOOKUP(ТабПозиции[[#This Row],[orderNum]],ТабЗаказы[#Data],MATCH(B$7,ТабЗаказы[#Headers],0),0),"")</f>
        <v>45474</v>
      </c>
      <c r="C592" t="str">
        <f>MONTH(ТабПозиции[[#This Row],[date]])&amp;"/"&amp;YEAR(ТабПозиции[[#This Row],[date]])</f>
        <v>7/2024</v>
      </c>
      <c r="D592" s="1" t="str">
        <f>IFERROR(VLOOKUP(ТабПозиции[[#This Row],[orderNum]],ТабЗаказы[#Data],MATCH(D$7,ТабЗаказы[#Headers],0),0),"")</f>
        <v/>
      </c>
      <c r="E592" s="1" t="str">
        <f>IFERROR(VLOOKUP(ТабПозиции[[#This Row],[orderNum]],ТабЗаказы[#Data],MATCH(E$7,ТабЗаказы[#Headers],0),0),"")</f>
        <v/>
      </c>
      <c r="F592" s="16" t="s">
        <v>1092</v>
      </c>
      <c r="G592" s="40" t="s">
        <v>545</v>
      </c>
      <c r="I592" s="18">
        <v>45476</v>
      </c>
      <c r="J592" s="10">
        <v>1</v>
      </c>
      <c r="K592" s="10">
        <v>623</v>
      </c>
      <c r="L592">
        <v>623</v>
      </c>
      <c r="M592" s="10">
        <v>656</v>
      </c>
      <c r="N592">
        <f t="shared" si="10"/>
        <v>656</v>
      </c>
      <c r="P5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Row],[orderNum]],ТабПозиции[orderSumm])&gt;1500),ABS(N592*VLOOKUP(ТабПозиции[[#This Row],[orderNum]],ТабЗаказы[#Data],MATCH("Percent",ТабЗаказы[#Headers],0),0))/100,200/COUNTIF(ТабПозиции[orderNum],ТабПозиции[[#This Row],[orderNum]])),0),"")</f>
        <v>98</v>
      </c>
      <c r="Q592">
        <f>IF(OR(ТабПозиции[[#This Row],[item]]="По штрихкоду",ТабПозиции[[#This Row],[item]]="Посылка"),ТабПозиции[[#This Row],[deliverySumm]]+ТабПозиции[[#This Row],[deliveryPost]],SUM(N592:P592))</f>
        <v>754</v>
      </c>
      <c r="R592" s="41">
        <v>754</v>
      </c>
      <c r="S592" s="46">
        <f>ТабПозиции[[#This Row],[totalSumm]]-ТабПозиции[[#This Row],[payment]]</f>
        <v>0</v>
      </c>
      <c r="T592" s="18" t="s">
        <v>970</v>
      </c>
      <c r="U592" s="40" t="s">
        <v>545</v>
      </c>
      <c r="V592" s="40" t="s">
        <v>545</v>
      </c>
      <c r="W592" s="40" t="s">
        <v>545</v>
      </c>
      <c r="X592" s="3"/>
      <c r="Y592"/>
    </row>
    <row r="593" spans="1:25" hidden="1" x14ac:dyDescent="0.25">
      <c r="A593" s="10">
        <v>160</v>
      </c>
      <c r="B593" s="1">
        <f>IFERROR(VLOOKUP(ТабПозиции[[#This Row],[orderNum]],ТабЗаказы[#Data],MATCH(B$7,ТабЗаказы[#Headers],0),0),"")</f>
        <v>45474</v>
      </c>
      <c r="C593" t="str">
        <f>MONTH(ТабПозиции[[#This Row],[date]])&amp;"/"&amp;YEAR(ТабПозиции[[#This Row],[date]])</f>
        <v>7/2024</v>
      </c>
      <c r="D593" s="1" t="str">
        <f>IFERROR(VLOOKUP(ТабПозиции[[#This Row],[orderNum]],ТабЗаказы[#Data],MATCH(D$7,ТабЗаказы[#Headers],0),0),"")</f>
        <v/>
      </c>
      <c r="E593" s="1" t="str">
        <f>IFERROR(VLOOKUP(ТабПозиции[[#This Row],[orderNum]],ТабЗаказы[#Data],MATCH(E$7,ТабЗаказы[#Headers],0),0),"")</f>
        <v/>
      </c>
      <c r="F593" s="16" t="s">
        <v>1093</v>
      </c>
      <c r="G593" s="40" t="s">
        <v>545</v>
      </c>
      <c r="I593" s="18">
        <v>45477</v>
      </c>
      <c r="J593" s="10">
        <v>1</v>
      </c>
      <c r="K593" s="10">
        <v>1026</v>
      </c>
      <c r="L593">
        <v>1026</v>
      </c>
      <c r="M593" s="10">
        <v>1140</v>
      </c>
      <c r="N593">
        <f t="shared" si="10"/>
        <v>1140</v>
      </c>
      <c r="P5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Row],[orderNum]],ТабПозиции[orderSumm])&gt;1500),ABS(N593*VLOOKUP(ТабПозиции[[#This Row],[orderNum]],ТабЗаказы[#Data],MATCH("Percent",ТабЗаказы[#Headers],0),0))/100,200/COUNTIF(ТабПозиции[orderNum],ТабПозиции[[#This Row],[orderNum]])),0),"")</f>
        <v>171</v>
      </c>
      <c r="Q593">
        <f>IF(OR(ТабПозиции[[#This Row],[item]]="По штрихкоду",ТабПозиции[[#This Row],[item]]="Посылка"),ТабПозиции[[#This Row],[deliverySumm]]+ТабПозиции[[#This Row],[deliveryPost]],SUM(N593:P593))</f>
        <v>1311</v>
      </c>
      <c r="R593" s="41">
        <v>1311</v>
      </c>
      <c r="S593" s="46">
        <f>ТабПозиции[[#This Row],[totalSumm]]-ТабПозиции[[#This Row],[payment]]</f>
        <v>0</v>
      </c>
      <c r="T593" s="18" t="s">
        <v>960</v>
      </c>
      <c r="U593" s="40" t="s">
        <v>545</v>
      </c>
      <c r="V593" s="40" t="s">
        <v>545</v>
      </c>
      <c r="W593" s="40" t="s">
        <v>545</v>
      </c>
      <c r="X593" s="3"/>
      <c r="Y593"/>
    </row>
    <row r="594" spans="1:25" hidden="1" x14ac:dyDescent="0.25">
      <c r="A594" s="10">
        <v>161</v>
      </c>
      <c r="B594" s="1">
        <f>IFERROR(VLOOKUP(ТабПозиции[[#This Row],[orderNum]],ТабЗаказы[#Data],MATCH(B$7,ТабЗаказы[#Headers],0),0),"")</f>
        <v>45475</v>
      </c>
      <c r="C594" t="str">
        <f>MONTH(ТабПозиции[[#This Row],[date]])&amp;"/"&amp;YEAR(ТабПозиции[[#This Row],[date]])</f>
        <v>7/2024</v>
      </c>
      <c r="D594" s="1" t="str">
        <f>IFERROR(VLOOKUP(ТабПозиции[[#This Row],[orderNum]],ТабЗаказы[#Data],MATCH(D$7,ТабЗаказы[#Headers],0),0),"")</f>
        <v/>
      </c>
      <c r="E594" s="1" t="str">
        <f>IFERROR(VLOOKUP(ТабПозиции[[#This Row],[orderNum]],ТабЗаказы[#Data],MATCH(E$7,ТабЗаказы[#Headers],0),0),"")</f>
        <v/>
      </c>
      <c r="F594" s="16" t="s">
        <v>1094</v>
      </c>
      <c r="G594" s="40" t="s">
        <v>545</v>
      </c>
      <c r="I594" s="18">
        <v>45476</v>
      </c>
      <c r="J594" s="10">
        <v>1</v>
      </c>
      <c r="K594" s="10">
        <v>11222</v>
      </c>
      <c r="L594">
        <v>11222</v>
      </c>
      <c r="M594" s="10">
        <v>12326</v>
      </c>
      <c r="N594">
        <f t="shared" si="10"/>
        <v>12326</v>
      </c>
      <c r="P5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Row],[orderNum]],ТабПозиции[orderSumm])&gt;1500),ABS(N594*VLOOKUP(ТабПозиции[[#This Row],[orderNum]],ТабЗаказы[#Data],MATCH("Percent",ТабЗаказы[#Headers],0),0))/100,200/COUNTIF(ТабПозиции[orderNum],ТабПозиции[[#This Row],[orderNum]])),0),"")</f>
        <v>1233</v>
      </c>
      <c r="Q594">
        <f>IF(OR(ТабПозиции[[#This Row],[item]]="По штрихкоду",ТабПозиции[[#This Row],[item]]="Посылка"),ТабПозиции[[#This Row],[deliverySumm]]+ТабПозиции[[#This Row],[deliveryPost]],SUM(N594:P594))</f>
        <v>13559</v>
      </c>
      <c r="R594" s="41">
        <v>13559</v>
      </c>
      <c r="S594" s="46">
        <f>ТабПозиции[[#This Row],[totalSumm]]-ТабПозиции[[#This Row],[payment]]</f>
        <v>0</v>
      </c>
      <c r="T594" s="18" t="s">
        <v>960</v>
      </c>
      <c r="U594" s="40" t="s">
        <v>545</v>
      </c>
      <c r="V594" s="40" t="s">
        <v>545</v>
      </c>
      <c r="W594" s="40" t="s">
        <v>545</v>
      </c>
      <c r="X594" s="3"/>
      <c r="Y594"/>
    </row>
    <row r="595" spans="1:25" hidden="1" x14ac:dyDescent="0.25">
      <c r="A595" s="10">
        <v>158</v>
      </c>
      <c r="B595" s="1">
        <f>IFERROR(VLOOKUP(ТабПозиции[[#This Row],[orderNum]],ТабЗаказы[#Data],MATCH(B$7,ТабЗаказы[#Headers],0),0),"")</f>
        <v>45473</v>
      </c>
      <c r="C595" t="str">
        <f>MONTH(ТабПозиции[[#This Row],[date]])&amp;"/"&amp;YEAR(ТабПозиции[[#This Row],[date]])</f>
        <v>6/2024</v>
      </c>
      <c r="D595" s="1" t="str">
        <f>IFERROR(VLOOKUP(ТабПозиции[[#This Row],[orderNum]],ТабЗаказы[#Data],MATCH(D$7,ТабЗаказы[#Headers],0),0),"")</f>
        <v/>
      </c>
      <c r="E595" s="1" t="str">
        <f>IFERROR(VLOOKUP(ТабПозиции[[#This Row],[orderNum]],ТабЗаказы[#Data],MATCH(E$7,ТабЗаказы[#Headers],0),0),"")</f>
        <v/>
      </c>
      <c r="F595" s="16" t="s">
        <v>1095</v>
      </c>
      <c r="G595" s="40" t="s">
        <v>545</v>
      </c>
      <c r="I595" s="18">
        <v>45479</v>
      </c>
      <c r="J595" s="10">
        <v>1</v>
      </c>
      <c r="K595" s="10">
        <v>370</v>
      </c>
      <c r="L595">
        <v>370</v>
      </c>
      <c r="M595" s="10">
        <v>411</v>
      </c>
      <c r="N595">
        <f t="shared" si="10"/>
        <v>411</v>
      </c>
      <c r="P5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Row],[orderNum]],ТабПозиции[orderSumm])&gt;1500),ABS(N595*VLOOKUP(ТабПозиции[[#This Row],[orderNum]],ТабЗаказы[#Data],MATCH("Percent",ТабЗаказы[#Headers],0),0))/100,200/COUNTIF(ТабПозиции[orderNum],ТабПозиции[[#This Row],[orderNum]])),0),"")</f>
        <v>62</v>
      </c>
      <c r="Q595">
        <f>IF(OR(ТабПозиции[[#This Row],[item]]="По штрихкоду",ТабПозиции[[#This Row],[item]]="Посылка"),ТабПозиции[[#This Row],[deliverySumm]]+ТабПозиции[[#This Row],[deliveryPost]],SUM(N595:P595))</f>
        <v>473</v>
      </c>
      <c r="R595" s="41">
        <v>473</v>
      </c>
      <c r="S595" s="46">
        <f>ТабПозиции[[#This Row],[totalSumm]]-ТабПозиции[[#This Row],[payment]]</f>
        <v>0</v>
      </c>
      <c r="T595" s="18" t="s">
        <v>960</v>
      </c>
      <c r="U595" s="40" t="s">
        <v>545</v>
      </c>
      <c r="V595" s="40" t="s">
        <v>545</v>
      </c>
      <c r="W595" s="40" t="s">
        <v>545</v>
      </c>
      <c r="X595" s="3"/>
      <c r="Y595"/>
    </row>
    <row r="596" spans="1:25" hidden="1" x14ac:dyDescent="0.25">
      <c r="A596" s="10">
        <v>162</v>
      </c>
      <c r="B596" s="1">
        <f>IFERROR(VLOOKUP(ТабПозиции[[#This Row],[orderNum]],ТабЗаказы[#Data],MATCH(B$7,ТабЗаказы[#Headers],0),0),"")</f>
        <v>45476</v>
      </c>
      <c r="C596" t="str">
        <f>MONTH(ТабПозиции[[#This Row],[date]])&amp;"/"&amp;YEAR(ТабПозиции[[#This Row],[date]])</f>
        <v>7/2024</v>
      </c>
      <c r="D596" s="1" t="str">
        <f>IFERROR(VLOOKUP(ТабПозиции[[#This Row],[orderNum]],ТабЗаказы[#Data],MATCH(D$7,ТабЗаказы[#Headers],0),0),"")</f>
        <v/>
      </c>
      <c r="E596" s="1" t="str">
        <f>IFERROR(VLOOKUP(ТабПозиции[[#This Row],[orderNum]],ТабЗаказы[#Data],MATCH(E$7,ТабЗаказы[#Headers],0),0),"")</f>
        <v/>
      </c>
      <c r="F596" s="16" t="s">
        <v>696</v>
      </c>
      <c r="G596" s="40" t="s">
        <v>545</v>
      </c>
      <c r="I596" s="18">
        <v>45490</v>
      </c>
      <c r="J596" s="10">
        <v>1</v>
      </c>
      <c r="K596" s="10">
        <v>285</v>
      </c>
      <c r="L596">
        <v>285</v>
      </c>
      <c r="M596" s="10">
        <v>300</v>
      </c>
      <c r="N596">
        <f t="shared" si="10"/>
        <v>300</v>
      </c>
      <c r="P5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Row],[orderNum]],ТабПозиции[orderSumm])&gt;1500),ABS(N596*VLOOKUP(ТабПозиции[[#This Row],[orderNum]],ТабЗаказы[#Data],MATCH("Percent",ТабЗаказы[#Headers],0),0))/100,200/COUNTIF(ТабПозиции[orderNum],ТабПозиции[[#This Row],[orderNum]])),0),"")</f>
        <v>45</v>
      </c>
      <c r="Q596">
        <f>IF(OR(ТабПозиции[[#This Row],[item]]="По штрихкоду",ТабПозиции[[#This Row],[item]]="Посылка"),ТабПозиции[[#This Row],[deliverySumm]]+ТабПозиции[[#This Row],[deliveryPost]],SUM(N596:P596))</f>
        <v>345</v>
      </c>
      <c r="R596" s="41">
        <v>345</v>
      </c>
      <c r="S596" s="46">
        <f>ТабПозиции[[#This Row],[totalSumm]]-ТабПозиции[[#This Row],[payment]]</f>
        <v>0</v>
      </c>
      <c r="T596" s="18" t="s">
        <v>970</v>
      </c>
      <c r="U596" s="40" t="s">
        <v>545</v>
      </c>
      <c r="V596" s="40" t="s">
        <v>545</v>
      </c>
      <c r="W596" s="40" t="s">
        <v>545</v>
      </c>
      <c r="X596" s="3"/>
      <c r="Y596"/>
    </row>
    <row r="597" spans="1:25" hidden="1" x14ac:dyDescent="0.25">
      <c r="A597" s="10">
        <v>162</v>
      </c>
      <c r="B597" s="1">
        <f>IFERROR(VLOOKUP(ТабПозиции[[#This Row],[orderNum]],ТабЗаказы[#Data],MATCH(B$7,ТабЗаказы[#Headers],0),0),"")</f>
        <v>45476</v>
      </c>
      <c r="C597" t="str">
        <f>MONTH(ТабПозиции[[#This Row],[date]])&amp;"/"&amp;YEAR(ТабПозиции[[#This Row],[date]])</f>
        <v>7/2024</v>
      </c>
      <c r="D597" s="1" t="str">
        <f>IFERROR(VLOOKUP(ТабПозиции[[#This Row],[orderNum]],ТабЗаказы[#Data],MATCH(D$7,ТабЗаказы[#Headers],0),0),"")</f>
        <v/>
      </c>
      <c r="E597" s="1" t="str">
        <f>IFERROR(VLOOKUP(ТабПозиции[[#This Row],[orderNum]],ТабЗаказы[#Data],MATCH(E$7,ТабЗаказы[#Headers],0),0),"")</f>
        <v/>
      </c>
      <c r="F597" s="16" t="s">
        <v>727</v>
      </c>
      <c r="G597" s="40" t="s">
        <v>545</v>
      </c>
      <c r="I597" s="18">
        <v>45478</v>
      </c>
      <c r="J597" s="10">
        <v>1</v>
      </c>
      <c r="K597" s="10">
        <v>966</v>
      </c>
      <c r="L597">
        <v>966</v>
      </c>
      <c r="M597" s="10">
        <v>1017</v>
      </c>
      <c r="N597">
        <f t="shared" si="10"/>
        <v>1017</v>
      </c>
      <c r="P5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Row],[orderNum]],ТабПозиции[orderSumm])&gt;1500),ABS(N597*VLOOKUP(ТабПозиции[[#This Row],[orderNum]],ТабЗаказы[#Data],MATCH("Percent",ТабЗаказы[#Headers],0),0))/100,200/COUNTIF(ТабПозиции[orderNum],ТабПозиции[[#This Row],[orderNum]])),0),"")</f>
        <v>153</v>
      </c>
      <c r="Q597">
        <f>IF(OR(ТабПозиции[[#This Row],[item]]="По штрихкоду",ТабПозиции[[#This Row],[item]]="Посылка"),ТабПозиции[[#This Row],[deliverySumm]]+ТабПозиции[[#This Row],[deliveryPost]],SUM(N597:P597))</f>
        <v>1170</v>
      </c>
      <c r="R597" s="41">
        <v>1170</v>
      </c>
      <c r="S597" s="46">
        <f>ТабПозиции[[#This Row],[totalSumm]]-ТабПозиции[[#This Row],[payment]]</f>
        <v>0</v>
      </c>
      <c r="T597" s="18" t="s">
        <v>970</v>
      </c>
      <c r="U597" s="40" t="s">
        <v>545</v>
      </c>
      <c r="V597" s="40" t="s">
        <v>545</v>
      </c>
      <c r="W597" s="40" t="s">
        <v>545</v>
      </c>
      <c r="X597" s="3"/>
      <c r="Y597"/>
    </row>
    <row r="598" spans="1:25" hidden="1" x14ac:dyDescent="0.25">
      <c r="A598" s="10">
        <v>162</v>
      </c>
      <c r="B598" s="1">
        <f>IFERROR(VLOOKUP(ТабПозиции[[#This Row],[orderNum]],ТабЗаказы[#Data],MATCH(B$7,ТабЗаказы[#Headers],0),0),"")</f>
        <v>45476</v>
      </c>
      <c r="C598" t="str">
        <f>MONTH(ТабПозиции[[#This Row],[date]])&amp;"/"&amp;YEAR(ТабПозиции[[#This Row],[date]])</f>
        <v>7/2024</v>
      </c>
      <c r="D598" s="1" t="str">
        <f>IFERROR(VLOOKUP(ТабПозиции[[#This Row],[orderNum]],ТабЗаказы[#Data],MATCH(D$7,ТабЗаказы[#Headers],0),0),"")</f>
        <v/>
      </c>
      <c r="E598" s="1" t="str">
        <f>IFERROR(VLOOKUP(ТабПозиции[[#This Row],[orderNum]],ТабЗаказы[#Data],MATCH(E$7,ТабЗаказы[#Headers],0),0),"")</f>
        <v/>
      </c>
      <c r="F598" s="16" t="s">
        <v>1096</v>
      </c>
      <c r="G598" s="40" t="s">
        <v>545</v>
      </c>
      <c r="I598" s="18">
        <v>45482</v>
      </c>
      <c r="J598" s="10">
        <v>1</v>
      </c>
      <c r="K598" s="10">
        <v>272</v>
      </c>
      <c r="L598">
        <v>272</v>
      </c>
      <c r="M598" s="10">
        <v>287</v>
      </c>
      <c r="N598">
        <f t="shared" si="10"/>
        <v>287</v>
      </c>
      <c r="P5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Row],[orderNum]],ТабПозиции[orderSumm])&gt;1500),ABS(N598*VLOOKUP(ТабПозиции[[#This Row],[orderNum]],ТабЗаказы[#Data],MATCH("Percent",ТабЗаказы[#Headers],0),0))/100,200/COUNTIF(ТабПозиции[orderNum],ТабПозиции[[#This Row],[orderNum]])),0),"")</f>
        <v>43</v>
      </c>
      <c r="Q598">
        <f>IF(OR(ТабПозиции[[#This Row],[item]]="По штрихкоду",ТабПозиции[[#This Row],[item]]="Посылка"),ТабПозиции[[#This Row],[deliverySumm]]+ТабПозиции[[#This Row],[deliveryPost]],SUM(N598:P598))</f>
        <v>330</v>
      </c>
      <c r="R598" s="41">
        <v>330</v>
      </c>
      <c r="S598" s="46">
        <f>ТабПозиции[[#This Row],[totalSumm]]-ТабПозиции[[#This Row],[payment]]</f>
        <v>0</v>
      </c>
      <c r="T598" s="18" t="s">
        <v>970</v>
      </c>
      <c r="U598" s="40" t="s">
        <v>545</v>
      </c>
      <c r="V598" s="40" t="s">
        <v>545</v>
      </c>
      <c r="W598" s="40" t="s">
        <v>545</v>
      </c>
      <c r="X598" s="3"/>
      <c r="Y598"/>
    </row>
    <row r="599" spans="1:25" hidden="1" x14ac:dyDescent="0.25">
      <c r="A599" s="10">
        <v>162</v>
      </c>
      <c r="B599" s="1">
        <f>IFERROR(VLOOKUP(ТабПозиции[[#This Row],[orderNum]],ТабЗаказы[#Data],MATCH(B$7,ТабЗаказы[#Headers],0),0),"")</f>
        <v>45476</v>
      </c>
      <c r="C599" t="str">
        <f>MONTH(ТабПозиции[[#This Row],[date]])&amp;"/"&amp;YEAR(ТабПозиции[[#This Row],[date]])</f>
        <v>7/2024</v>
      </c>
      <c r="D599" s="1" t="str">
        <f>IFERROR(VLOOKUP(ТабПозиции[[#This Row],[orderNum]],ТабЗаказы[#Data],MATCH(D$7,ТабЗаказы[#Headers],0),0),"")</f>
        <v/>
      </c>
      <c r="E599" s="1" t="str">
        <f>IFERROR(VLOOKUP(ТабПозиции[[#This Row],[orderNum]],ТабЗаказы[#Data],MATCH(E$7,ТабЗаказы[#Headers],0),0),"")</f>
        <v/>
      </c>
      <c r="F599" s="16" t="s">
        <v>1097</v>
      </c>
      <c r="G599" s="40" t="s">
        <v>545</v>
      </c>
      <c r="I599" s="18">
        <v>45479</v>
      </c>
      <c r="J599" s="10">
        <v>1</v>
      </c>
      <c r="K599" s="10">
        <v>345</v>
      </c>
      <c r="L599">
        <v>345</v>
      </c>
      <c r="M599" s="10">
        <v>364</v>
      </c>
      <c r="N599">
        <f t="shared" si="10"/>
        <v>364</v>
      </c>
      <c r="P5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Row],[orderNum]],ТабПозиции[orderSumm])&gt;1500),ABS(N599*VLOOKUP(ТабПозиции[[#This Row],[orderNum]],ТабЗаказы[#Data],MATCH("Percent",ТабЗаказы[#Headers],0),0))/100,200/COUNTIF(ТабПозиции[orderNum],ТабПозиции[[#This Row],[orderNum]])),0),"")</f>
        <v>55</v>
      </c>
      <c r="Q599">
        <f>IF(OR(ТабПозиции[[#This Row],[item]]="По штрихкоду",ТабПозиции[[#This Row],[item]]="Посылка"),ТабПозиции[[#This Row],[deliverySumm]]+ТабПозиции[[#This Row],[deliveryPost]],SUM(N599:P599))</f>
        <v>419</v>
      </c>
      <c r="R599" s="41">
        <v>419</v>
      </c>
      <c r="S599" s="46">
        <f>ТабПозиции[[#This Row],[totalSumm]]-ТабПозиции[[#This Row],[payment]]</f>
        <v>0</v>
      </c>
      <c r="T599" s="18" t="s">
        <v>970</v>
      </c>
      <c r="U599" s="40" t="s">
        <v>545</v>
      </c>
      <c r="V599" s="40" t="s">
        <v>545</v>
      </c>
      <c r="W599" s="40" t="s">
        <v>545</v>
      </c>
      <c r="X599" s="3"/>
      <c r="Y599"/>
    </row>
    <row r="600" spans="1:25" hidden="1" x14ac:dyDescent="0.25">
      <c r="A600" s="10">
        <v>162</v>
      </c>
      <c r="B600" s="1">
        <f>IFERROR(VLOOKUP(ТабПозиции[[#This Row],[orderNum]],ТабЗаказы[#Data],MATCH(B$7,ТабЗаказы[#Headers],0),0),"")</f>
        <v>45476</v>
      </c>
      <c r="C600" t="str">
        <f>MONTH(ТабПозиции[[#This Row],[date]])&amp;"/"&amp;YEAR(ТабПозиции[[#This Row],[date]])</f>
        <v>7/2024</v>
      </c>
      <c r="D600" s="1" t="str">
        <f>IFERROR(VLOOKUP(ТабПозиции[[#This Row],[orderNum]],ТабЗаказы[#Data],MATCH(D$7,ТабЗаказы[#Headers],0),0),"")</f>
        <v/>
      </c>
      <c r="E600" s="1" t="str">
        <f>IFERROR(VLOOKUP(ТабПозиции[[#This Row],[orderNum]],ТабЗаказы[#Data],MATCH(E$7,ТабЗаказы[#Headers],0),0),"")</f>
        <v/>
      </c>
      <c r="F600" s="16" t="s">
        <v>1098</v>
      </c>
      <c r="G600" s="40" t="s">
        <v>545</v>
      </c>
      <c r="I600" s="18">
        <v>45478</v>
      </c>
      <c r="J600" s="10">
        <v>1</v>
      </c>
      <c r="K600" s="10">
        <v>559</v>
      </c>
      <c r="L600">
        <v>559</v>
      </c>
      <c r="M600" s="10">
        <v>589</v>
      </c>
      <c r="N600">
        <f t="shared" si="10"/>
        <v>589</v>
      </c>
      <c r="P6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Row],[orderNum]],ТабПозиции[orderSumm])&gt;1500),ABS(N600*VLOOKUP(ТабПозиции[[#This Row],[orderNum]],ТабЗаказы[#Data],MATCH("Percent",ТабЗаказы[#Headers],0),0))/100,200/COUNTIF(ТабПозиции[orderNum],ТабПозиции[[#This Row],[orderNum]])),0),"")</f>
        <v>88</v>
      </c>
      <c r="Q600">
        <f>IF(OR(ТабПозиции[[#This Row],[item]]="По штрихкоду",ТабПозиции[[#This Row],[item]]="Посылка"),ТабПозиции[[#This Row],[deliverySumm]]+ТабПозиции[[#This Row],[deliveryPost]],SUM(N600:P600))</f>
        <v>677</v>
      </c>
      <c r="R600" s="41">
        <v>677</v>
      </c>
      <c r="S600" s="46">
        <f>ТабПозиции[[#This Row],[totalSumm]]-ТабПозиции[[#This Row],[payment]]</f>
        <v>0</v>
      </c>
      <c r="T600" s="18" t="s">
        <v>970</v>
      </c>
      <c r="U600" s="40" t="s">
        <v>545</v>
      </c>
      <c r="V600" s="40" t="s">
        <v>545</v>
      </c>
      <c r="W600" s="40" t="s">
        <v>545</v>
      </c>
      <c r="X600" s="3"/>
      <c r="Y600"/>
    </row>
    <row r="601" spans="1:25" hidden="1" x14ac:dyDescent="0.25">
      <c r="A601" s="10">
        <v>163</v>
      </c>
      <c r="B601" s="1">
        <f>IFERROR(VLOOKUP(ТабПозиции[[#This Row],[orderNum]],ТабЗаказы[#Data],MATCH(B$7,ТабЗаказы[#Headers],0),0),"")</f>
        <v>45476</v>
      </c>
      <c r="C601" t="str">
        <f>MONTH(ТабПозиции[[#This Row],[date]])&amp;"/"&amp;YEAR(ТабПозиции[[#This Row],[date]])</f>
        <v>7/2024</v>
      </c>
      <c r="D601" s="1" t="str">
        <f>IFERROR(VLOOKUP(ТабПозиции[[#This Row],[orderNum]],ТабЗаказы[#Data],MATCH(D$7,ТабЗаказы[#Headers],0),0),"")</f>
        <v/>
      </c>
      <c r="E601" s="1" t="str">
        <f>IFERROR(VLOOKUP(ТабПозиции[[#This Row],[orderNum]],ТабЗаказы[#Data],MATCH(E$7,ТабЗаказы[#Headers],0),0),"")</f>
        <v/>
      </c>
      <c r="F601" s="16" t="s">
        <v>1099</v>
      </c>
      <c r="G601" s="40" t="s">
        <v>545</v>
      </c>
      <c r="I601" s="18">
        <v>45483</v>
      </c>
      <c r="J601" s="10">
        <v>1</v>
      </c>
      <c r="K601" s="10">
        <v>197</v>
      </c>
      <c r="L601">
        <v>197</v>
      </c>
      <c r="M601" s="10">
        <v>201</v>
      </c>
      <c r="N601">
        <f t="shared" si="10"/>
        <v>201</v>
      </c>
      <c r="P6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Row],[orderNum]],ТабПозиции[orderSumm])&gt;1500),ABS(N601*VLOOKUP(ТабПозиции[[#This Row],[orderNum]],ТабЗаказы[#Data],MATCH("Percent",ТабЗаказы[#Headers],0),0))/100,200/COUNTIF(ТабПозиции[orderNum],ТабПозиции[[#This Row],[orderNum]])),0),"")</f>
        <v>30</v>
      </c>
      <c r="Q601">
        <f>IF(OR(ТабПозиции[[#This Row],[item]]="По штрихкоду",ТабПозиции[[#This Row],[item]]="Посылка"),ТабПозиции[[#This Row],[deliverySumm]]+ТабПозиции[[#This Row],[deliveryPost]],SUM(N601:P601))</f>
        <v>231</v>
      </c>
      <c r="R601" s="41">
        <v>231</v>
      </c>
      <c r="S601" s="46">
        <f>ТабПозиции[[#This Row],[totalSumm]]-ТабПозиции[[#This Row],[payment]]</f>
        <v>0</v>
      </c>
      <c r="T601" s="18" t="s">
        <v>960</v>
      </c>
      <c r="U601" s="40" t="s">
        <v>545</v>
      </c>
      <c r="V601" s="40" t="s">
        <v>545</v>
      </c>
      <c r="W601" s="40" t="s">
        <v>545</v>
      </c>
      <c r="X601" s="3"/>
      <c r="Y601"/>
    </row>
    <row r="602" spans="1:25" hidden="1" x14ac:dyDescent="0.25">
      <c r="A602" s="10">
        <v>163</v>
      </c>
      <c r="B602" s="1">
        <f>IFERROR(VLOOKUP(ТабПозиции[[#This Row],[orderNum]],ТабЗаказы[#Data],MATCH(B$7,ТабЗаказы[#Headers],0),0),"")</f>
        <v>45476</v>
      </c>
      <c r="C602" t="str">
        <f>MONTH(ТабПозиции[[#This Row],[date]])&amp;"/"&amp;YEAR(ТабПозиции[[#This Row],[date]])</f>
        <v>7/2024</v>
      </c>
      <c r="D602" s="1" t="str">
        <f>IFERROR(VLOOKUP(ТабПозиции[[#This Row],[orderNum]],ТабЗаказы[#Data],MATCH(D$7,ТабЗаказы[#Headers],0),0),"")</f>
        <v/>
      </c>
      <c r="E602" s="1" t="str">
        <f>IFERROR(VLOOKUP(ТабПозиции[[#This Row],[orderNum]],ТабЗаказы[#Data],MATCH(E$7,ТабЗаказы[#Headers],0),0),"")</f>
        <v/>
      </c>
      <c r="F602" s="16" t="s">
        <v>1100</v>
      </c>
      <c r="G602" s="40" t="s">
        <v>545</v>
      </c>
      <c r="I602" s="18">
        <v>45480</v>
      </c>
      <c r="J602" s="10">
        <v>1</v>
      </c>
      <c r="K602" s="10">
        <v>636</v>
      </c>
      <c r="L602">
        <v>636</v>
      </c>
      <c r="M602" s="10">
        <v>670</v>
      </c>
      <c r="N602">
        <f t="shared" si="10"/>
        <v>670</v>
      </c>
      <c r="P6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Row],[orderNum]],ТабПозиции[orderSumm])&gt;1500),ABS(N602*VLOOKUP(ТабПозиции[[#This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602">
        <f>IF(OR(ТабПозиции[[#This Row],[item]]="По штрихкоду",ТабПозиции[[#This Row],[item]]="Посылка"),ТабПозиции[[#This Row],[deliverySumm]]+ТабПозиции[[#This Row],[deliveryPost]],SUM(N602:P602))</f>
        <v>771</v>
      </c>
      <c r="R602" s="41">
        <v>771</v>
      </c>
      <c r="S602" s="46">
        <f>ТабПозиции[[#This Row],[totalSumm]]-ТабПозиции[[#This Row],[payment]]</f>
        <v>0</v>
      </c>
      <c r="T602" s="18" t="s">
        <v>970</v>
      </c>
      <c r="U602" s="40" t="s">
        <v>545</v>
      </c>
      <c r="V602" s="40" t="s">
        <v>545</v>
      </c>
      <c r="W602" s="40" t="s">
        <v>545</v>
      </c>
      <c r="X602" s="3"/>
      <c r="Y602"/>
    </row>
    <row r="603" spans="1:25" hidden="1" x14ac:dyDescent="0.25">
      <c r="A603" s="10">
        <v>163</v>
      </c>
      <c r="B603" s="1">
        <f>IFERROR(VLOOKUP(ТабПозиции[[#This Row],[orderNum]],ТабЗаказы[#Data],MATCH(B$7,ТабЗаказы[#Headers],0),0),"")</f>
        <v>45476</v>
      </c>
      <c r="C603" t="str">
        <f>MONTH(ТабПозиции[[#This Row],[date]])&amp;"/"&amp;YEAR(ТабПозиции[[#This Row],[date]])</f>
        <v>7/2024</v>
      </c>
      <c r="D603" s="1" t="str">
        <f>IFERROR(VLOOKUP(ТабПозиции[[#This Row],[orderNum]],ТабЗаказы[#Data],MATCH(D$7,ТабЗаказы[#Headers],0),0),"")</f>
        <v/>
      </c>
      <c r="E603" s="1" t="str">
        <f>IFERROR(VLOOKUP(ТабПозиции[[#This Row],[orderNum]],ТабЗаказы[#Data],MATCH(E$7,ТабЗаказы[#Headers],0),0),"")</f>
        <v/>
      </c>
      <c r="F603" s="16" t="s">
        <v>1101</v>
      </c>
      <c r="G603" s="40" t="s">
        <v>545</v>
      </c>
      <c r="I603" s="18">
        <v>45483</v>
      </c>
      <c r="J603" s="10">
        <v>1</v>
      </c>
      <c r="K603" s="10">
        <v>461</v>
      </c>
      <c r="L603">
        <v>461</v>
      </c>
      <c r="M603" s="10">
        <v>512</v>
      </c>
      <c r="N603">
        <f t="shared" si="10"/>
        <v>512</v>
      </c>
      <c r="P6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Row],[orderNum]],ТабПозиции[orderSumm])&gt;1500),ABS(N603*VLOOKUP(ТабПозиции[[#This Row],[orderNum]],ТабЗаказы[#Data],MATCH("Percent",ТабЗаказы[#Headers],0),0))/100,200/COUNTIF(ТабПозиции[orderNum],ТабПозиции[[#This Row],[orderNum]])),0),"")</f>
        <v>77</v>
      </c>
      <c r="Q603">
        <f>IF(OR(ТабПозиции[[#This Row],[item]]="По штрихкоду",ТабПозиции[[#This Row],[item]]="Посылка"),ТабПозиции[[#This Row],[deliverySumm]]+ТабПозиции[[#This Row],[deliveryPost]],SUM(N603:P603))</f>
        <v>589</v>
      </c>
      <c r="R603" s="41">
        <v>589</v>
      </c>
      <c r="S603" s="46">
        <f>ТабПозиции[[#This Row],[totalSumm]]-ТабПозиции[[#This Row],[payment]]</f>
        <v>0</v>
      </c>
      <c r="T603" s="18" t="s">
        <v>960</v>
      </c>
      <c r="U603" s="40" t="s">
        <v>545</v>
      </c>
      <c r="V603" s="40" t="s">
        <v>545</v>
      </c>
      <c r="W603" s="40" t="s">
        <v>545</v>
      </c>
      <c r="X603" s="3"/>
      <c r="Y603"/>
    </row>
    <row r="604" spans="1:25" hidden="1" x14ac:dyDescent="0.25">
      <c r="A604" s="10">
        <v>160</v>
      </c>
      <c r="B604" s="1">
        <f>IFERROR(VLOOKUP(ТабПозиции[[#This Row],[orderNum]],ТабЗаказы[#Data],MATCH(B$7,ТабЗаказы[#Headers],0),0),"")</f>
        <v>45474</v>
      </c>
      <c r="C604" t="str">
        <f>MONTH(ТабПозиции[[#This Row],[date]])&amp;"/"&amp;YEAR(ТабПозиции[[#This Row],[date]])</f>
        <v>7/2024</v>
      </c>
      <c r="D604" s="1" t="str">
        <f>IFERROR(VLOOKUP(ТабПозиции[[#This Row],[orderNum]],ТабЗаказы[#Data],MATCH(D$7,ТабЗаказы[#Headers],0),0),"")</f>
        <v/>
      </c>
      <c r="E604" s="1" t="str">
        <f>IFERROR(VLOOKUP(ТабПозиции[[#This Row],[orderNum]],ТабЗаказы[#Data],MATCH(E$7,ТабЗаказы[#Headers],0),0),"")</f>
        <v/>
      </c>
      <c r="F604" s="16" t="s">
        <v>1102</v>
      </c>
      <c r="G604" s="40" t="s">
        <v>545</v>
      </c>
      <c r="I604" s="18">
        <v>45479</v>
      </c>
      <c r="J604" s="10">
        <v>1</v>
      </c>
      <c r="K604" s="10">
        <v>166</v>
      </c>
      <c r="L604">
        <v>166</v>
      </c>
      <c r="M604" s="10">
        <v>169</v>
      </c>
      <c r="N604">
        <f t="shared" si="10"/>
        <v>169</v>
      </c>
      <c r="P6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Row],[orderNum]],ТабПозиции[orderSumm])&gt;1500),ABS(N604*VLOOKUP(ТабПозиции[[#This Row],[orderNum]],ТабЗаказы[#Data],MATCH("Percent",ТабЗаказы[#Headers],0),0))/100,200/COUNTIF(ТабПозиции[orderNum],ТабПозиции[[#This Row],[orderNum]])),0),"")</f>
        <v>25</v>
      </c>
      <c r="Q604">
        <f>IF(OR(ТабПозиции[[#This Row],[item]]="По штрихкоду",ТабПозиции[[#This Row],[item]]="Посылка"),ТабПозиции[[#This Row],[deliverySumm]]+ТабПозиции[[#This Row],[deliveryPost]],SUM(N604:P604))</f>
        <v>194</v>
      </c>
      <c r="R604" s="41">
        <v>194</v>
      </c>
      <c r="S604" s="46">
        <f>ТабПозиции[[#This Row],[totalSumm]]-ТабПозиции[[#This Row],[payment]]</f>
        <v>0</v>
      </c>
      <c r="T604" s="18" t="s">
        <v>960</v>
      </c>
      <c r="U604" s="40" t="s">
        <v>545</v>
      </c>
      <c r="V604" s="40" t="s">
        <v>545</v>
      </c>
      <c r="W604" s="40" t="s">
        <v>545</v>
      </c>
      <c r="X604" s="3"/>
      <c r="Y604"/>
    </row>
    <row r="605" spans="1:25" hidden="1" x14ac:dyDescent="0.25">
      <c r="A605" s="10">
        <v>160</v>
      </c>
      <c r="B605" s="1">
        <f>IFERROR(VLOOKUP(ТабПозиции[[#This Row],[orderNum]],ТабЗаказы[#Data],MATCH(B$7,ТабЗаказы[#Headers],0),0),"")</f>
        <v>45474</v>
      </c>
      <c r="C605" t="str">
        <f>MONTH(ТабПозиции[[#This Row],[date]])&amp;"/"&amp;YEAR(ТабПозиции[[#This Row],[date]])</f>
        <v>7/2024</v>
      </c>
      <c r="D605" s="1" t="str">
        <f>IFERROR(VLOOKUP(ТабПозиции[[#This Row],[orderNum]],ТабЗаказы[#Data],MATCH(D$7,ТабЗаказы[#Headers],0),0),"")</f>
        <v/>
      </c>
      <c r="E605" s="1" t="str">
        <f>IFERROR(VLOOKUP(ТабПозиции[[#This Row],[orderNum]],ТабЗаказы[#Data],MATCH(E$7,ТабЗаказы[#Headers],0),0),"")</f>
        <v/>
      </c>
      <c r="F605" s="16" t="s">
        <v>1103</v>
      </c>
      <c r="G605" s="40" t="s">
        <v>545</v>
      </c>
      <c r="I605" s="18">
        <v>45483</v>
      </c>
      <c r="J605" s="10">
        <v>1</v>
      </c>
      <c r="K605" s="10">
        <v>533</v>
      </c>
      <c r="L605">
        <v>533</v>
      </c>
      <c r="M605" s="10">
        <v>583</v>
      </c>
      <c r="N605">
        <f t="shared" si="10"/>
        <v>583</v>
      </c>
      <c r="P6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Row],[orderNum]],ТабПозиции[orderSumm])&gt;1500),ABS(N605*VLOOKUP(ТабПозиции[[#This Row],[orderNum]],ТабЗаказы[#Data],MATCH("Percent",ТабЗаказы[#Headers],0),0))/100,200/COUNTIF(ТабПозиции[orderNum],ТабПозиции[[#This Row],[orderNum]])),0),"")</f>
        <v>87</v>
      </c>
      <c r="Q605">
        <f>IF(OR(ТабПозиции[[#This Row],[item]]="По штрихкоду",ТабПозиции[[#This Row],[item]]="Посылка"),ТабПозиции[[#This Row],[deliverySumm]]+ТабПозиции[[#This Row],[deliveryPost]],SUM(N605:P605))</f>
        <v>670</v>
      </c>
      <c r="R605" s="41">
        <v>670</v>
      </c>
      <c r="S605" s="46">
        <f>ТабПозиции[[#This Row],[totalSumm]]-ТабПозиции[[#This Row],[payment]]</f>
        <v>0</v>
      </c>
      <c r="T605" s="18" t="s">
        <v>970</v>
      </c>
      <c r="U605" s="40" t="s">
        <v>545</v>
      </c>
      <c r="V605" s="40" t="s">
        <v>545</v>
      </c>
      <c r="W605" s="40" t="s">
        <v>545</v>
      </c>
      <c r="X605" s="3"/>
      <c r="Y605"/>
    </row>
    <row r="606" spans="1:25" hidden="1" x14ac:dyDescent="0.25">
      <c r="A606" s="10">
        <v>160</v>
      </c>
      <c r="B606" s="1">
        <f>IFERROR(VLOOKUP(ТабПозиции[[#This Row],[orderNum]],ТабЗаказы[#Data],MATCH(B$7,ТабЗаказы[#Headers],0),0),"")</f>
        <v>45474</v>
      </c>
      <c r="C606" t="str">
        <f>MONTH(ТабПозиции[[#This Row],[date]])&amp;"/"&amp;YEAR(ТабПозиции[[#This Row],[date]])</f>
        <v>7/2024</v>
      </c>
      <c r="D606" s="1" t="str">
        <f>IFERROR(VLOOKUP(ТабПозиции[[#This Row],[orderNum]],ТабЗаказы[#Data],MATCH(D$7,ТабЗаказы[#Headers],0),0),"")</f>
        <v/>
      </c>
      <c r="E606" s="1" t="str">
        <f>IFERROR(VLOOKUP(ТабПозиции[[#This Row],[orderNum]],ТабЗаказы[#Data],MATCH(E$7,ТабЗаказы[#Headers],0),0),"")</f>
        <v/>
      </c>
      <c r="F606" s="16" t="s">
        <v>1104</v>
      </c>
      <c r="G606" s="40" t="s">
        <v>545</v>
      </c>
      <c r="I606" s="18">
        <v>45480</v>
      </c>
      <c r="J606" s="10">
        <v>1</v>
      </c>
      <c r="K606" s="10">
        <v>217</v>
      </c>
      <c r="L606">
        <v>217</v>
      </c>
      <c r="M606" s="10">
        <v>229</v>
      </c>
      <c r="N606">
        <f t="shared" si="10"/>
        <v>229</v>
      </c>
      <c r="P6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Row],[orderNum]],ТабПозиции[orderSumm])&gt;1500),ABS(N606*VLOOKUP(ТабПозиции[[#This Row],[orderNum]],ТабЗаказы[#Data],MATCH("Percent",ТабЗаказы[#Headers],0),0))/100,200/COUNTIF(ТабПозиции[orderNum],ТабПозиции[[#This Row],[orderNum]])),0),"")</f>
        <v>34</v>
      </c>
      <c r="Q606">
        <f>IF(OR(ТабПозиции[[#This Row],[item]]="По штрихкоду",ТабПозиции[[#This Row],[item]]="Посылка"),ТабПозиции[[#This Row],[deliverySumm]]+ТабПозиции[[#This Row],[deliveryPost]],SUM(N606:P606))</f>
        <v>263</v>
      </c>
      <c r="R606" s="41">
        <v>263</v>
      </c>
      <c r="S606" s="46">
        <f>ТабПозиции[[#This Row],[totalSumm]]-ТабПозиции[[#This Row],[payment]]</f>
        <v>0</v>
      </c>
      <c r="T606" s="18" t="s">
        <v>970</v>
      </c>
      <c r="U606" s="40" t="s">
        <v>545</v>
      </c>
      <c r="V606" s="40" t="s">
        <v>545</v>
      </c>
      <c r="W606" s="40" t="s">
        <v>545</v>
      </c>
      <c r="X606" s="3"/>
      <c r="Y606"/>
    </row>
    <row r="607" spans="1:25" hidden="1" x14ac:dyDescent="0.25">
      <c r="A607" s="10">
        <v>164</v>
      </c>
      <c r="B607" s="1">
        <f>IFERROR(VLOOKUP(ТабПозиции[[#This Row],[orderNum]],ТабЗаказы[#Data],MATCH(B$7,ТабЗаказы[#Headers],0),0),"")</f>
        <v>45478</v>
      </c>
      <c r="C607" t="str">
        <f>MONTH(ТабПозиции[[#This Row],[date]])&amp;"/"&amp;YEAR(ТабПозиции[[#This Row],[date]])</f>
        <v>7/2024</v>
      </c>
      <c r="D607" s="1" t="str">
        <f>IFERROR(VLOOKUP(ТабПозиции[[#This Row],[orderNum]],ТабЗаказы[#Data],MATCH(D$7,ТабЗаказы[#Headers],0),0),"")</f>
        <v/>
      </c>
      <c r="E607" s="1" t="str">
        <f>IFERROR(VLOOKUP(ТабПозиции[[#This Row],[orderNum]],ТабЗаказы[#Data],MATCH(E$7,ТабЗаказы[#Headers],0),0),"")</f>
        <v/>
      </c>
      <c r="F607" s="16" t="s">
        <v>1105</v>
      </c>
      <c r="G607" s="40" t="s">
        <v>545</v>
      </c>
      <c r="I607" s="18">
        <v>45480</v>
      </c>
      <c r="J607" s="10">
        <v>1</v>
      </c>
      <c r="K607" s="10">
        <v>136</v>
      </c>
      <c r="L607">
        <v>136</v>
      </c>
      <c r="M607" s="10">
        <v>144</v>
      </c>
      <c r="N607">
        <f t="shared" si="10"/>
        <v>144</v>
      </c>
      <c r="P6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Row],[orderNum]],ТабПозиции[orderSumm])&gt;1500),ABS(N607*VLOOKUP(ТабПозиции[[#This Row],[orderNum]],ТабЗаказы[#Data],MATCH("Percent",ТабЗаказы[#Headers],0),0))/100,200/COUNTIF(ТабПозиции[orderNum],ТабПозиции[[#This Row],[orderNum]])),0),"")</f>
        <v>67</v>
      </c>
      <c r="Q607">
        <f>IF(OR(ТабПозиции[[#This Row],[item]]="По штрихкоду",ТабПозиции[[#This Row],[item]]="Посылка"),ТабПозиции[[#This Row],[deliverySumm]]+ТабПозиции[[#This Row],[deliveryPost]],SUM(N607:P607))</f>
        <v>211</v>
      </c>
      <c r="R607" s="41">
        <v>211</v>
      </c>
      <c r="S607" s="46">
        <f>ТабПозиции[[#This Row],[totalSumm]]-ТабПозиции[[#This Row],[payment]]</f>
        <v>0</v>
      </c>
      <c r="T607" s="18" t="s">
        <v>970</v>
      </c>
      <c r="U607" s="40" t="s">
        <v>545</v>
      </c>
      <c r="V607" s="40" t="s">
        <v>545</v>
      </c>
      <c r="W607" s="40" t="s">
        <v>545</v>
      </c>
      <c r="X607" s="3"/>
      <c r="Y607"/>
    </row>
    <row r="608" spans="1:25" hidden="1" x14ac:dyDescent="0.25">
      <c r="A608" s="10">
        <v>164</v>
      </c>
      <c r="B608" s="1">
        <f>IFERROR(VLOOKUP(ТабПозиции[[#This Row],[orderNum]],ТабЗаказы[#Data],MATCH(B$7,ТабЗаказы[#Headers],0),0),"")</f>
        <v>45478</v>
      </c>
      <c r="C608" t="str">
        <f>MONTH(ТабПозиции[[#This Row],[date]])&amp;"/"&amp;YEAR(ТабПозиции[[#This Row],[date]])</f>
        <v>7/2024</v>
      </c>
      <c r="D608" s="1" t="str">
        <f>IFERROR(VLOOKUP(ТабПозиции[[#This Row],[orderNum]],ТабЗаказы[#Data],MATCH(D$7,ТабЗаказы[#Headers],0),0),"")</f>
        <v/>
      </c>
      <c r="E608" s="1" t="str">
        <f>IFERROR(VLOOKUP(ТабПозиции[[#This Row],[orderNum]],ТабЗаказы[#Data],MATCH(E$7,ТабЗаказы[#Headers],0),0),"")</f>
        <v/>
      </c>
      <c r="F608" s="16" t="s">
        <v>1106</v>
      </c>
      <c r="G608" s="40" t="s">
        <v>545</v>
      </c>
      <c r="I608" s="18">
        <v>45480</v>
      </c>
      <c r="J608" s="10">
        <v>1</v>
      </c>
      <c r="K608" s="10">
        <v>422</v>
      </c>
      <c r="L608">
        <v>422</v>
      </c>
      <c r="M608" s="10">
        <v>445</v>
      </c>
      <c r="N608">
        <f t="shared" si="10"/>
        <v>445</v>
      </c>
      <c r="P6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Row],[orderNum]],ТабПозиции[orderSumm])&gt;1500),ABS(N608*VLOOKUP(ТабПозиции[[#This Row],[orderNum]],ТабЗаказы[#Data],MATCH("Percent",ТабЗаказы[#Headers],0),0))/100,200/COUNTIF(ТабПозиции[orderNum],ТабПозиции[[#This Row],[orderNum]])),0),"")</f>
        <v>67</v>
      </c>
      <c r="Q608">
        <f>IF(OR(ТабПозиции[[#This Row],[item]]="По штрихкоду",ТабПозиции[[#This Row],[item]]="Посылка"),ТабПозиции[[#This Row],[deliverySumm]]+ТабПозиции[[#This Row],[deliveryPost]],SUM(N608:P608))</f>
        <v>512</v>
      </c>
      <c r="R608" s="41">
        <v>512</v>
      </c>
      <c r="S608" s="46">
        <f>ТабПозиции[[#This Row],[totalSumm]]-ТабПозиции[[#This Row],[payment]]</f>
        <v>0</v>
      </c>
      <c r="T608" s="18" t="s">
        <v>970</v>
      </c>
      <c r="U608" s="40" t="s">
        <v>545</v>
      </c>
      <c r="V608" s="40" t="s">
        <v>545</v>
      </c>
      <c r="W608" s="40" t="s">
        <v>545</v>
      </c>
      <c r="X608" s="3"/>
      <c r="Y608"/>
    </row>
    <row r="609" spans="1:25" hidden="1" x14ac:dyDescent="0.25">
      <c r="A609" s="10">
        <v>164</v>
      </c>
      <c r="B609" s="1">
        <f>IFERROR(VLOOKUP(ТабПозиции[[#This Row],[orderNum]],ТабЗаказы[#Data],MATCH(B$7,ТабЗаказы[#Headers],0),0),"")</f>
        <v>45478</v>
      </c>
      <c r="C609" t="str">
        <f>MONTH(ТабПозиции[[#This Row],[date]])&amp;"/"&amp;YEAR(ТабПозиции[[#This Row],[date]])</f>
        <v>7/2024</v>
      </c>
      <c r="D609" s="1" t="str">
        <f>IFERROR(VLOOKUP(ТабПозиции[[#This Row],[orderNum]],ТабЗаказы[#Data],MATCH(D$7,ТабЗаказы[#Headers],0),0),"")</f>
        <v/>
      </c>
      <c r="E609" s="1" t="str">
        <f>IFERROR(VLOOKUP(ТабПозиции[[#This Row],[orderNum]],ТабЗаказы[#Data],MATCH(E$7,ТабЗаказы[#Headers],0),0),"")</f>
        <v/>
      </c>
      <c r="F609" s="16" t="s">
        <v>1107</v>
      </c>
      <c r="G609" s="40" t="s">
        <v>545</v>
      </c>
      <c r="I609" s="18">
        <v>45480</v>
      </c>
      <c r="J609" s="10">
        <v>1</v>
      </c>
      <c r="K609" s="10">
        <v>438</v>
      </c>
      <c r="L609">
        <v>438</v>
      </c>
      <c r="M609" s="10">
        <v>447</v>
      </c>
      <c r="N609">
        <f t="shared" ref="N609:N672" si="11">M609*J609</f>
        <v>447</v>
      </c>
      <c r="P6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Row],[orderNum]],ТабПозиции[orderSumm])&gt;1500),ABS(N609*VLOOKUP(ТабПозиции[[#This Row],[orderNum]],ТабЗаказы[#Data],MATCH("Percent",ТабЗаказы[#Headers],0),0))/100,200/COUNTIF(ТабПозиции[orderNum],ТабПозиции[[#This Row],[orderNum]])),0),"")</f>
        <v>67</v>
      </c>
      <c r="Q609">
        <f>IF(OR(ТабПозиции[[#This Row],[item]]="По штрихкоду",ТабПозиции[[#This Row],[item]]="Посылка"),ТабПозиции[[#This Row],[deliverySumm]]+ТабПозиции[[#This Row],[deliveryPost]],SUM(N609:P609))</f>
        <v>514</v>
      </c>
      <c r="R609" s="41">
        <v>514</v>
      </c>
      <c r="S609" s="46">
        <f>ТабПозиции[[#This Row],[totalSumm]]-ТабПозиции[[#This Row],[payment]]</f>
        <v>0</v>
      </c>
      <c r="T609" s="18" t="s">
        <v>960</v>
      </c>
      <c r="U609" s="40" t="s">
        <v>545</v>
      </c>
      <c r="V609" s="40" t="s">
        <v>545</v>
      </c>
      <c r="W609" s="40" t="s">
        <v>545</v>
      </c>
      <c r="X609" s="3"/>
      <c r="Y609"/>
    </row>
    <row r="610" spans="1:25" hidden="1" x14ac:dyDescent="0.25">
      <c r="A610" s="10">
        <v>165</v>
      </c>
      <c r="B610" s="1">
        <f>IFERROR(VLOOKUP(ТабПозиции[[#This Row],[orderNum]],ТабЗаказы[#Data],MATCH(B$7,ТабЗаказы[#Headers],0),0),"")</f>
        <v>45478</v>
      </c>
      <c r="C610" t="str">
        <f>MONTH(ТабПозиции[[#This Row],[date]])&amp;"/"&amp;YEAR(ТабПозиции[[#This Row],[date]])</f>
        <v>7/2024</v>
      </c>
      <c r="D610" s="1" t="str">
        <f>IFERROR(VLOOKUP(ТабПозиции[[#This Row],[orderNum]],ТабЗаказы[#Data],MATCH(D$7,ТабЗаказы[#Headers],0),0),"")</f>
        <v/>
      </c>
      <c r="E610" s="1" t="str">
        <f>IFERROR(VLOOKUP(ТабПозиции[[#This Row],[orderNum]],ТабЗаказы[#Data],MATCH(E$7,ТабЗаказы[#Headers],0),0),"")</f>
        <v/>
      </c>
      <c r="F610" s="16" t="s">
        <v>1108</v>
      </c>
      <c r="G610" s="40" t="s">
        <v>545</v>
      </c>
      <c r="I610" s="18">
        <v>45486</v>
      </c>
      <c r="J610" s="10">
        <v>1</v>
      </c>
      <c r="K610" s="10">
        <v>1494</v>
      </c>
      <c r="L610">
        <v>1494</v>
      </c>
      <c r="M610" s="10">
        <v>1597</v>
      </c>
      <c r="N610">
        <f t="shared" si="11"/>
        <v>1597</v>
      </c>
      <c r="P6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Row],[orderNum]],ТабПозиции[orderSumm])&gt;1500),ABS(N610*VLOOKUP(ТабПозиции[[#This Row],[orderNum]],ТабЗаказы[#Data],MATCH("Percent",ТабЗаказы[#Headers],0),0))/100,200/COUNTIF(ТабПозиции[orderNum],ТабПозиции[[#This Row],[orderNum]])),0),"")</f>
        <v>240</v>
      </c>
      <c r="Q610">
        <f>IF(OR(ТабПозиции[[#This Row],[item]]="По штрихкоду",ТабПозиции[[#This Row],[item]]="Посылка"),ТабПозиции[[#This Row],[deliverySumm]]+ТабПозиции[[#This Row],[deliveryPost]],SUM(N610:P610))</f>
        <v>1837</v>
      </c>
      <c r="R610" s="41">
        <v>1837</v>
      </c>
      <c r="S610" s="46">
        <f>ТабПозиции[[#This Row],[totalSumm]]-ТабПозиции[[#This Row],[payment]]</f>
        <v>0</v>
      </c>
      <c r="T610" s="18" t="s">
        <v>960</v>
      </c>
      <c r="U610" s="40" t="s">
        <v>545</v>
      </c>
      <c r="V610" s="40" t="s">
        <v>545</v>
      </c>
      <c r="W610" s="40" t="s">
        <v>545</v>
      </c>
      <c r="X610" s="3"/>
      <c r="Y610"/>
    </row>
    <row r="611" spans="1:25" hidden="1" x14ac:dyDescent="0.25">
      <c r="A611" s="10">
        <v>165</v>
      </c>
      <c r="B611" s="1">
        <f>IFERROR(VLOOKUP(ТабПозиции[[#This Row],[orderNum]],ТабЗаказы[#Data],MATCH(B$7,ТабЗаказы[#Headers],0),0),"")</f>
        <v>45478</v>
      </c>
      <c r="C611" t="str">
        <f>MONTH(ТабПозиции[[#This Row],[date]])&amp;"/"&amp;YEAR(ТабПозиции[[#This Row],[date]])</f>
        <v>7/2024</v>
      </c>
      <c r="D611" s="1" t="str">
        <f>IFERROR(VLOOKUP(ТабПозиции[[#This Row],[orderNum]],ТабЗаказы[#Data],MATCH(D$7,ТабЗаказы[#Headers],0),0),"")</f>
        <v/>
      </c>
      <c r="E611" s="1" t="str">
        <f>IFERROR(VLOOKUP(ТабПозиции[[#This Row],[orderNum]],ТабЗаказы[#Data],MATCH(E$7,ТабЗаказы[#Headers],0),0),"")</f>
        <v/>
      </c>
      <c r="F611" s="16" t="s">
        <v>1109</v>
      </c>
      <c r="G611" s="40" t="s">
        <v>545</v>
      </c>
      <c r="I611" s="18">
        <v>45482</v>
      </c>
      <c r="J611" s="10">
        <v>1</v>
      </c>
      <c r="K611" s="10">
        <v>623</v>
      </c>
      <c r="L611">
        <v>623</v>
      </c>
      <c r="M611" s="10">
        <v>668</v>
      </c>
      <c r="N611">
        <f t="shared" si="11"/>
        <v>668</v>
      </c>
      <c r="P6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Row],[orderNum]],ТабПозиции[orderSumm])&gt;1500),ABS(N611*VLOOKUP(ТабПозиции[[#This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611">
        <f>IF(OR(ТабПозиции[[#This Row],[item]]="По штрихкоду",ТабПозиции[[#This Row],[item]]="Посылка"),ТабПозиции[[#This Row],[deliverySumm]]+ТабПозиции[[#This Row],[deliveryPost]],SUM(N611:P611))</f>
        <v>768</v>
      </c>
      <c r="R611" s="41">
        <v>768</v>
      </c>
      <c r="S611" s="46">
        <f>ТабПозиции[[#This Row],[totalSumm]]-ТабПозиции[[#This Row],[payment]]</f>
        <v>0</v>
      </c>
      <c r="T611" s="18" t="s">
        <v>960</v>
      </c>
      <c r="U611" s="40" t="s">
        <v>545</v>
      </c>
      <c r="V611" s="40" t="s">
        <v>545</v>
      </c>
      <c r="W611" s="40" t="s">
        <v>545</v>
      </c>
      <c r="X611" s="3"/>
      <c r="Y611"/>
    </row>
    <row r="612" spans="1:25" hidden="1" x14ac:dyDescent="0.25">
      <c r="A612" s="10">
        <v>165</v>
      </c>
      <c r="B612" s="1">
        <f>IFERROR(VLOOKUP(ТабПозиции[[#This Row],[orderNum]],ТабЗаказы[#Data],MATCH(B$7,ТабЗаказы[#Headers],0),0),"")</f>
        <v>45478</v>
      </c>
      <c r="C612" t="str">
        <f>MONTH(ТабПозиции[[#This Row],[date]])&amp;"/"&amp;YEAR(ТабПозиции[[#This Row],[date]])</f>
        <v>7/2024</v>
      </c>
      <c r="D612" s="1" t="str">
        <f>IFERROR(VLOOKUP(ТабПозиции[[#This Row],[orderNum]],ТабЗаказы[#Data],MATCH(D$7,ТабЗаказы[#Headers],0),0),"")</f>
        <v/>
      </c>
      <c r="E612" s="1" t="str">
        <f>IFERROR(VLOOKUP(ТабПозиции[[#This Row],[orderNum]],ТабЗаказы[#Data],MATCH(E$7,ТабЗаказы[#Headers],0),0),"")</f>
        <v/>
      </c>
      <c r="F612" s="16" t="s">
        <v>1110</v>
      </c>
      <c r="G612" s="40" t="s">
        <v>545</v>
      </c>
      <c r="I612" s="18">
        <v>45480</v>
      </c>
      <c r="J612" s="10">
        <v>1</v>
      </c>
      <c r="K612" s="10">
        <v>1352</v>
      </c>
      <c r="L612">
        <v>1352</v>
      </c>
      <c r="M612" s="10">
        <v>1446</v>
      </c>
      <c r="N612">
        <f t="shared" si="11"/>
        <v>1446</v>
      </c>
      <c r="P6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Row],[orderNum]],ТабПозиции[orderSumm])&gt;1500),ABS(N612*VLOOKUP(ТабПозиции[[#This Row],[orderNum]],ТабЗаказы[#Data],MATCH("Percent",ТабЗаказы[#Headers],0),0))/100,200/COUNTIF(ТабПозиции[orderNum],ТабПозиции[[#This Row],[orderNum]])),0),"")</f>
        <v>217</v>
      </c>
      <c r="Q612">
        <f>IF(OR(ТабПозиции[[#This Row],[item]]="По штрихкоду",ТабПозиции[[#This Row],[item]]="Посылка"),ТабПозиции[[#This Row],[deliverySumm]]+ТабПозиции[[#This Row],[deliveryPost]],SUM(N612:P612))</f>
        <v>1663</v>
      </c>
      <c r="R612" s="41">
        <v>1663</v>
      </c>
      <c r="S612" s="46">
        <f>ТабПозиции[[#This Row],[totalSumm]]-ТабПозиции[[#This Row],[payment]]</f>
        <v>0</v>
      </c>
      <c r="T612" s="18" t="s">
        <v>960</v>
      </c>
      <c r="U612" s="40" t="s">
        <v>545</v>
      </c>
      <c r="V612" s="40" t="s">
        <v>545</v>
      </c>
      <c r="W612" s="40" t="s">
        <v>545</v>
      </c>
      <c r="X612" s="3"/>
      <c r="Y612"/>
    </row>
    <row r="613" spans="1:25" hidden="1" x14ac:dyDescent="0.25">
      <c r="A613" s="10">
        <v>166</v>
      </c>
      <c r="B613" s="1">
        <f>IFERROR(VLOOKUP(ТабПозиции[[#This Row],[orderNum]],ТабЗаказы[#Data],MATCH(B$7,ТабЗаказы[#Headers],0),0),"")</f>
        <v>45480</v>
      </c>
      <c r="C613" t="str">
        <f>MONTH(ТабПозиции[[#This Row],[date]])&amp;"/"&amp;YEAR(ТабПозиции[[#This Row],[date]])</f>
        <v>7/2024</v>
      </c>
      <c r="D613" s="1" t="str">
        <f>IFERROR(VLOOKUP(ТабПозиции[[#This Row],[orderNum]],ТабЗаказы[#Data],MATCH(D$7,ТабЗаказы[#Headers],0),0),"")</f>
        <v/>
      </c>
      <c r="E613" s="1" t="str">
        <f>IFERROR(VLOOKUP(ТабПозиции[[#This Row],[orderNum]],ТабЗаказы[#Data],MATCH(E$7,ТабЗаказы[#Headers],0),0),"")</f>
        <v/>
      </c>
      <c r="F613" s="16" t="s">
        <v>906</v>
      </c>
      <c r="G613" s="40" t="s">
        <v>545</v>
      </c>
      <c r="I613" s="18">
        <v>45482</v>
      </c>
      <c r="J613" s="10">
        <v>1</v>
      </c>
      <c r="K613" s="10">
        <v>6487</v>
      </c>
      <c r="L613">
        <v>6487</v>
      </c>
      <c r="M613" s="10">
        <v>6829</v>
      </c>
      <c r="N613">
        <f t="shared" si="11"/>
        <v>6829</v>
      </c>
      <c r="P6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Row],[orderNum]],ТабПозиции[orderSumm])&gt;1500),ABS(N613*VLOOKUP(ТабПозиции[[#This Row],[orderNum]],ТабЗаказы[#Data],MATCH("Percent",ТабЗаказы[#Headers],0),0))/100,200/COUNTIF(ТабПозиции[orderNum],ТабПозиции[[#This Row],[orderNum]])),0),"")</f>
        <v>683</v>
      </c>
      <c r="Q613">
        <f>IF(OR(ТабПозиции[[#This Row],[item]]="По штрихкоду",ТабПозиции[[#This Row],[item]]="Посылка"),ТабПозиции[[#This Row],[deliverySumm]]+ТабПозиции[[#This Row],[deliveryPost]],SUM(N613:P613))</f>
        <v>7512</v>
      </c>
      <c r="R613" s="41">
        <v>7512</v>
      </c>
      <c r="S613" s="46">
        <f>ТабПозиции[[#This Row],[totalSumm]]-ТабПозиции[[#This Row],[payment]]</f>
        <v>0</v>
      </c>
      <c r="T613" s="18" t="s">
        <v>970</v>
      </c>
      <c r="U613" s="40" t="s">
        <v>545</v>
      </c>
      <c r="V613" s="40" t="s">
        <v>545</v>
      </c>
      <c r="W613" s="40" t="s">
        <v>545</v>
      </c>
      <c r="X613" s="3"/>
      <c r="Y613"/>
    </row>
    <row r="614" spans="1:25" hidden="1" x14ac:dyDescent="0.25">
      <c r="A614" s="10">
        <v>166</v>
      </c>
      <c r="B614" s="1">
        <f>IFERROR(VLOOKUP(ТабПозиции[[#This Row],[orderNum]],ТабЗаказы[#Data],MATCH(B$7,ТабЗаказы[#Headers],0),0),"")</f>
        <v>45480</v>
      </c>
      <c r="C614" t="str">
        <f>MONTH(ТабПозиции[[#This Row],[date]])&amp;"/"&amp;YEAR(ТабПозиции[[#This Row],[date]])</f>
        <v>7/2024</v>
      </c>
      <c r="D614" s="1" t="str">
        <f>IFERROR(VLOOKUP(ТабПозиции[[#This Row],[orderNum]],ТабЗаказы[#Data],MATCH(D$7,ТабЗаказы[#Headers],0),0),"")</f>
        <v/>
      </c>
      <c r="E614" s="1" t="str">
        <f>IFERROR(VLOOKUP(ТабПозиции[[#This Row],[orderNum]],ТабЗаказы[#Data],MATCH(E$7,ТабЗаказы[#Headers],0),0),"")</f>
        <v/>
      </c>
      <c r="F614" s="16" t="s">
        <v>1111</v>
      </c>
      <c r="G614" s="40" t="s">
        <v>545</v>
      </c>
      <c r="I614" s="18">
        <v>45484</v>
      </c>
      <c r="J614" s="10">
        <v>1</v>
      </c>
      <c r="K614" s="10">
        <v>2337</v>
      </c>
      <c r="L614">
        <v>2337</v>
      </c>
      <c r="M614" s="10">
        <v>2460</v>
      </c>
      <c r="N614">
        <f t="shared" si="11"/>
        <v>2460</v>
      </c>
      <c r="P6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Row],[orderNum]],ТабПозиции[orderSumm])&gt;1500),ABS(N614*VLOOKUP(ТабПозиции[[#This Row],[orderNum]],ТабЗаказы[#Data],MATCH("Percent",ТабЗаказы[#Headers],0),0))/100,200/COUNTIF(ТабПозиции[orderNum],ТабПозиции[[#This Row],[orderNum]])),0),"")</f>
        <v>246</v>
      </c>
      <c r="Q614">
        <f>IF(OR(ТабПозиции[[#This Row],[item]]="По штрихкоду",ТабПозиции[[#This Row],[item]]="Посылка"),ТабПозиции[[#This Row],[deliverySumm]]+ТабПозиции[[#This Row],[deliveryPost]],SUM(N614:P614))</f>
        <v>2706</v>
      </c>
      <c r="R614" s="41">
        <v>2706</v>
      </c>
      <c r="S614" s="46">
        <f>ТабПозиции[[#This Row],[totalSumm]]-ТабПозиции[[#This Row],[payment]]</f>
        <v>0</v>
      </c>
      <c r="T614" s="18" t="s">
        <v>970</v>
      </c>
      <c r="U614" s="40" t="s">
        <v>545</v>
      </c>
      <c r="V614" s="40" t="s">
        <v>545</v>
      </c>
      <c r="W614" s="40" t="s">
        <v>545</v>
      </c>
      <c r="X614" s="3"/>
      <c r="Y614"/>
    </row>
    <row r="615" spans="1:25" hidden="1" x14ac:dyDescent="0.25">
      <c r="A615" s="10">
        <v>165</v>
      </c>
      <c r="B615" s="1">
        <f>IFERROR(VLOOKUP(ТабПозиции[[#This Row],[orderNum]],ТабЗаказы[#Data],MATCH(B$7,ТабЗаказы[#Headers],0),0),"")</f>
        <v>45478</v>
      </c>
      <c r="C615" t="str">
        <f>MONTH(ТабПозиции[[#This Row],[date]])&amp;"/"&amp;YEAR(ТабПозиции[[#This Row],[date]])</f>
        <v>7/2024</v>
      </c>
      <c r="D615" s="1" t="str">
        <f>IFERROR(VLOOKUP(ТабПозиции[[#This Row],[orderNum]],ТабЗаказы[#Data],MATCH(D$7,ТабЗаказы[#Headers],0),0),"")</f>
        <v/>
      </c>
      <c r="E615" s="1" t="str">
        <f>IFERROR(VLOOKUP(ТабПозиции[[#This Row],[orderNum]],ТабЗаказы[#Data],MATCH(E$7,ТабЗаказы[#Headers],0),0),"")</f>
        <v/>
      </c>
      <c r="F615" s="16" t="s">
        <v>1073</v>
      </c>
      <c r="G615" s="40" t="s">
        <v>545</v>
      </c>
      <c r="I615" s="18">
        <v>45487</v>
      </c>
      <c r="J615" s="10">
        <v>1</v>
      </c>
      <c r="K615" s="10">
        <v>377</v>
      </c>
      <c r="L615">
        <v>377</v>
      </c>
      <c r="M615" s="10">
        <v>385</v>
      </c>
      <c r="N615">
        <f t="shared" si="11"/>
        <v>385</v>
      </c>
      <c r="P6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Row],[orderNum]],ТабПозиции[orderSumm])&gt;1500),ABS(N615*VLOOKUP(ТабПозиции[[#This Row],[orderNum]],ТабЗаказы[#Data],MATCH("Percent",ТабЗаказы[#Headers],0),0))/100,200/COUNTIF(ТабПозиции[orderNum],ТабПозиции[[#This Row],[orderNum]])),0),"")</f>
        <v>58</v>
      </c>
      <c r="Q615">
        <f>IF(OR(ТабПозиции[[#This Row],[item]]="По штрихкоду",ТабПозиции[[#This Row],[item]]="Посылка"),ТабПозиции[[#This Row],[deliverySumm]]+ТабПозиции[[#This Row],[deliveryPost]],SUM(N615:P615))</f>
        <v>443</v>
      </c>
      <c r="R615" s="41">
        <v>443</v>
      </c>
      <c r="S615" s="46">
        <f>ТабПозиции[[#This Row],[totalSumm]]-ТабПозиции[[#This Row],[payment]]</f>
        <v>0</v>
      </c>
      <c r="T615" s="18" t="s">
        <v>960</v>
      </c>
      <c r="U615" s="40" t="s">
        <v>545</v>
      </c>
      <c r="V615" s="40" t="s">
        <v>545</v>
      </c>
      <c r="W615" s="40" t="s">
        <v>545</v>
      </c>
      <c r="X615" s="3"/>
      <c r="Y615"/>
    </row>
    <row r="616" spans="1:25" hidden="1" x14ac:dyDescent="0.25">
      <c r="A616" s="10">
        <v>167</v>
      </c>
      <c r="B616" s="1">
        <f>IFERROR(VLOOKUP(ТабПозиции[[#This Row],[orderNum]],ТабЗаказы[#Data],MATCH(B$7,ТабЗаказы[#Headers],0),0),"")</f>
        <v>45479</v>
      </c>
      <c r="C616" t="str">
        <f>MONTH(ТабПозиции[[#This Row],[date]])&amp;"/"&amp;YEAR(ТабПозиции[[#This Row],[date]])</f>
        <v>7/2024</v>
      </c>
      <c r="D616" s="1" t="str">
        <f>IFERROR(VLOOKUP(ТабПозиции[[#This Row],[orderNum]],ТабЗаказы[#Data],MATCH(D$7,ТабЗаказы[#Headers],0),0),"")</f>
        <v/>
      </c>
      <c r="E616" s="1" t="str">
        <f>IFERROR(VLOOKUP(ТабПозиции[[#This Row],[orderNum]],ТабЗаказы[#Data],MATCH(E$7,ТабЗаказы[#Headers],0),0),"")</f>
        <v/>
      </c>
      <c r="F616" s="16" t="s">
        <v>1057</v>
      </c>
      <c r="G616" s="40" t="s">
        <v>545</v>
      </c>
      <c r="I616" s="18">
        <v>45481</v>
      </c>
      <c r="J616" s="10">
        <v>1</v>
      </c>
      <c r="K616" s="10">
        <v>341</v>
      </c>
      <c r="L616">
        <v>341</v>
      </c>
      <c r="M616" s="10">
        <v>352</v>
      </c>
      <c r="N616">
        <f t="shared" si="11"/>
        <v>352</v>
      </c>
      <c r="P6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Row],[orderNum]],ТабПозиции[orderSumm])&gt;1500),ABS(N616*VLOOKUP(ТабПозиции[[#This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616">
        <f>IF(OR(ТабПозиции[[#This Row],[item]]="По штрихкоду",ТабПозиции[[#This Row],[item]]="Посылка"),ТабПозиции[[#This Row],[deliverySumm]]+ТабПозиции[[#This Row],[deliveryPost]],SUM(N616:P616))</f>
        <v>552</v>
      </c>
      <c r="R616" s="41">
        <v>552</v>
      </c>
      <c r="S616" s="46">
        <f>ТабПозиции[[#This Row],[totalSumm]]-ТабПозиции[[#This Row],[payment]]</f>
        <v>0</v>
      </c>
      <c r="T616" s="18" t="s">
        <v>960</v>
      </c>
      <c r="U616" s="40" t="s">
        <v>545</v>
      </c>
      <c r="V616" s="40" t="s">
        <v>545</v>
      </c>
      <c r="W616" s="40" t="s">
        <v>545</v>
      </c>
      <c r="X616" s="3"/>
      <c r="Y616"/>
    </row>
    <row r="617" spans="1:25" hidden="1" x14ac:dyDescent="0.25">
      <c r="A617" s="10">
        <v>168</v>
      </c>
      <c r="B617" s="1">
        <f>IFERROR(VLOOKUP(ТабПозиции[[#This Row],[orderNum]],ТабЗаказы[#Data],MATCH(B$7,ТабЗаказы[#Headers],0),0),"")</f>
        <v>45473</v>
      </c>
      <c r="C617" t="str">
        <f>MONTH(ТабПозиции[[#This Row],[date]])&amp;"/"&amp;YEAR(ТабПозиции[[#This Row],[date]])</f>
        <v>6/2024</v>
      </c>
      <c r="D617" s="1" t="str">
        <f>IFERROR(VLOOKUP(ТабПозиции[[#This Row],[orderNum]],ТабЗаказы[#Data],MATCH(D$7,ТабЗаказы[#Headers],0),0),"")</f>
        <v/>
      </c>
      <c r="E617" s="1" t="str">
        <f>IFERROR(VLOOKUP(ТабПозиции[[#This Row],[orderNum]],ТабЗаказы[#Data],MATCH(E$7,ТабЗаказы[#Headers],0),0),"")</f>
        <v/>
      </c>
      <c r="F617" s="10" t="s">
        <v>820</v>
      </c>
      <c r="G617" s="40" t="s">
        <v>545</v>
      </c>
      <c r="I617" s="18">
        <v>45482</v>
      </c>
      <c r="J617" s="10">
        <v>1</v>
      </c>
      <c r="K617" s="10">
        <v>1000</v>
      </c>
      <c r="L617">
        <v>1000</v>
      </c>
      <c r="M617" s="10">
        <v>1000</v>
      </c>
      <c r="N617">
        <f t="shared" si="11"/>
        <v>1000</v>
      </c>
      <c r="P6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Row],[orderNum]],ТабПозиции[orderSumm])&gt;1500),ABS(N617*VLOOKUP(ТабПозиции[[#This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617">
        <f>IF(OR(ТабПозиции[[#This Row],[item]]="По штрихкоду",ТабПозиции[[#This Row],[item]]="Посылка"),ТабПозиции[[#This Row],[deliverySumm]]+ТабПозиции[[#This Row],[deliveryPost]],SUM(N617:P617))</f>
        <v>200</v>
      </c>
      <c r="R617" s="41">
        <v>200</v>
      </c>
      <c r="S617" s="46">
        <f>ТабПозиции[[#This Row],[totalSumm]]-ТабПозиции[[#This Row],[payment]]</f>
        <v>0</v>
      </c>
      <c r="T617" s="18" t="s">
        <v>615</v>
      </c>
      <c r="U617" s="40" t="s">
        <v>545</v>
      </c>
      <c r="V617" s="40" t="s">
        <v>545</v>
      </c>
      <c r="W617" s="40" t="s">
        <v>545</v>
      </c>
      <c r="X617" s="3"/>
      <c r="Y617"/>
    </row>
    <row r="618" spans="1:25" hidden="1" x14ac:dyDescent="0.25">
      <c r="A618" s="10">
        <v>169</v>
      </c>
      <c r="B618" s="1">
        <f>IFERROR(VLOOKUP(ТабПозиции[[#This Row],[orderNum]],ТабЗаказы[#Data],MATCH(B$7,ТабЗаказы[#Headers],0),0),"")</f>
        <v>45480</v>
      </c>
      <c r="C618" t="str">
        <f>MONTH(ТабПозиции[[#This Row],[date]])&amp;"/"&amp;YEAR(ТабПозиции[[#This Row],[date]])</f>
        <v>7/2024</v>
      </c>
      <c r="D618" s="1" t="str">
        <f>IFERROR(VLOOKUP(ТабПозиции[[#This Row],[orderNum]],ТабЗаказы[#Data],MATCH(D$7,ТабЗаказы[#Headers],0),0),"")</f>
        <v/>
      </c>
      <c r="E618" s="1" t="str">
        <f>IFERROR(VLOOKUP(ТабПозиции[[#This Row],[orderNum]],ТабЗаказы[#Data],MATCH(E$7,ТабЗаказы[#Headers],0),0),"")</f>
        <v/>
      </c>
      <c r="F618" s="16" t="s">
        <v>1112</v>
      </c>
      <c r="G618" s="40" t="s">
        <v>545</v>
      </c>
      <c r="I618" s="18">
        <v>45486</v>
      </c>
      <c r="J618" s="10">
        <v>1</v>
      </c>
      <c r="K618" s="10">
        <v>1030</v>
      </c>
      <c r="L618">
        <v>1030</v>
      </c>
      <c r="M618" s="10">
        <v>1106</v>
      </c>
      <c r="N618">
        <f t="shared" si="11"/>
        <v>1106</v>
      </c>
      <c r="P6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Row],[orderNum]],ТабПозиции[orderSumm])&gt;1500),ABS(N618*VLOOKUP(ТабПозиции[[#This Row],[orderNum]],ТабЗаказы[#Data],MATCH("Percent",ТабЗаказы[#Headers],0),0))/100,200/COUNTIF(ТабПозиции[orderNum],ТабПозиции[[#This Row],[orderNum]])),0),"")</f>
        <v>166</v>
      </c>
      <c r="Q618">
        <f>IF(OR(ТабПозиции[[#This Row],[item]]="По штрихкоду",ТабПозиции[[#This Row],[item]]="Посылка"),ТабПозиции[[#This Row],[deliverySumm]]+ТабПозиции[[#This Row],[deliveryPost]],SUM(N618:P618))</f>
        <v>1272</v>
      </c>
      <c r="R618" s="46">
        <v>1272</v>
      </c>
      <c r="S618" s="46">
        <f>ТабПозиции[[#This Row],[totalSumm]]-ТабПозиции[[#This Row],[payment]]</f>
        <v>0</v>
      </c>
      <c r="T618" s="18" t="s">
        <v>960</v>
      </c>
      <c r="U618" s="40" t="s">
        <v>545</v>
      </c>
      <c r="V618" s="40" t="s">
        <v>545</v>
      </c>
      <c r="W618" s="40" t="s">
        <v>545</v>
      </c>
      <c r="X618" s="3"/>
      <c r="Y618"/>
    </row>
    <row r="619" spans="1:25" hidden="1" x14ac:dyDescent="0.25">
      <c r="A619" s="10">
        <v>169</v>
      </c>
      <c r="B619" s="1">
        <f>IFERROR(VLOOKUP(ТабПозиции[[#This Row],[orderNum]],ТабЗаказы[#Data],MATCH(B$7,ТабЗаказы[#Headers],0),0),"")</f>
        <v>45480</v>
      </c>
      <c r="C619" t="str">
        <f>MONTH(ТабПозиции[[#This Row],[date]])&amp;"/"&amp;YEAR(ТабПозиции[[#This Row],[date]])</f>
        <v>7/2024</v>
      </c>
      <c r="D619" s="1" t="str">
        <f>IFERROR(VLOOKUP(ТабПозиции[[#This Row],[orderNum]],ТабЗаказы[#Data],MATCH(D$7,ТабЗаказы[#Headers],0),0),"")</f>
        <v/>
      </c>
      <c r="E619" s="1" t="str">
        <f>IFERROR(VLOOKUP(ТабПозиции[[#This Row],[orderNum]],ТабЗаказы[#Data],MATCH(E$7,ТабЗаказы[#Headers],0),0),"")</f>
        <v/>
      </c>
      <c r="F619" s="16" t="s">
        <v>1113</v>
      </c>
      <c r="G619" s="40" t="s">
        <v>545</v>
      </c>
      <c r="I619" s="18">
        <v>45487</v>
      </c>
      <c r="J619" s="10">
        <v>1</v>
      </c>
      <c r="K619" s="10">
        <v>651</v>
      </c>
      <c r="L619">
        <v>651</v>
      </c>
      <c r="M619" s="10">
        <v>699</v>
      </c>
      <c r="N619">
        <f t="shared" si="11"/>
        <v>699</v>
      </c>
      <c r="P6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Row],[orderNum]],ТабПозиции[orderSumm])&gt;1500),ABS(N619*VLOOKUP(ТабПозиции[[#This Row],[orderNum]],ТабЗаказы[#Data],MATCH("Percent",ТабЗаказы[#Headers],0),0))/100,200/COUNTIF(ТабПозиции[orderNum],ТабПозиции[[#This Row],[orderNum]])),0),"")</f>
        <v>105</v>
      </c>
      <c r="Q619">
        <f>IF(OR(ТабПозиции[[#This Row],[item]]="По штрихкоду",ТабПозиции[[#This Row],[item]]="Посылка"),ТабПозиции[[#This Row],[deliverySumm]]+ТабПозиции[[#This Row],[deliveryPost]],SUM(N619:P619))</f>
        <v>804</v>
      </c>
      <c r="R619" s="46">
        <v>804</v>
      </c>
      <c r="S619" s="46">
        <f>ТабПозиции[[#This Row],[totalSumm]]-ТабПозиции[[#This Row],[payment]]</f>
        <v>0</v>
      </c>
      <c r="T619" s="18" t="s">
        <v>960</v>
      </c>
      <c r="U619" s="40" t="s">
        <v>545</v>
      </c>
      <c r="V619" s="40" t="s">
        <v>545</v>
      </c>
      <c r="W619" s="40" t="s">
        <v>545</v>
      </c>
      <c r="X619" s="3"/>
      <c r="Y619"/>
    </row>
    <row r="620" spans="1:25" hidden="1" x14ac:dyDescent="0.25">
      <c r="A620" s="10">
        <v>170</v>
      </c>
      <c r="B620" s="1">
        <f>IFERROR(VLOOKUP(ТабПозиции[[#This Row],[orderNum]],ТабЗаказы[#Data],MATCH(B$7,ТабЗаказы[#Headers],0),0),"")</f>
        <v>45480</v>
      </c>
      <c r="C620" t="str">
        <f>MONTH(ТабПозиции[[#This Row],[date]])&amp;"/"&amp;YEAR(ТабПозиции[[#This Row],[date]])</f>
        <v>7/2024</v>
      </c>
      <c r="D620" s="1" t="str">
        <f>IFERROR(VLOOKUP(ТабПозиции[[#This Row],[orderNum]],ТабЗаказы[#Data],MATCH(D$7,ТабЗаказы[#Headers],0),0),"")</f>
        <v/>
      </c>
      <c r="E620" s="1" t="str">
        <f>IFERROR(VLOOKUP(ТабПозиции[[#This Row],[orderNum]],ТабЗаказы[#Data],MATCH(E$7,ТабЗаказы[#Headers],0),0),"")</f>
        <v/>
      </c>
      <c r="F620" s="16" t="s">
        <v>1114</v>
      </c>
      <c r="G620" s="40" t="s">
        <v>545</v>
      </c>
      <c r="I620" s="18">
        <v>45487</v>
      </c>
      <c r="J620" s="10">
        <v>1</v>
      </c>
      <c r="K620" s="10">
        <v>5234</v>
      </c>
      <c r="L620">
        <v>5234</v>
      </c>
      <c r="M620" s="10">
        <v>5554</v>
      </c>
      <c r="N620">
        <f t="shared" si="11"/>
        <v>5554</v>
      </c>
      <c r="P6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Row],[orderNum]],ТабПозиции[orderSumm])&gt;1500),ABS(N620*VLOOKUP(ТабПозиции[[#This Row],[orderNum]],ТабЗаказы[#Data],MATCH("Percent",ТабЗаказы[#Headers],0),0))/100,200/COUNTIF(ТабПозиции[orderNum],ТабПозиции[[#This Row],[orderNum]])),0),"")</f>
        <v>833</v>
      </c>
      <c r="Q620">
        <f>IF(OR(ТабПозиции[[#This Row],[item]]="По штрихкоду",ТабПозиции[[#This Row],[item]]="Посылка"),ТабПозиции[[#This Row],[deliverySumm]]+ТабПозиции[[#This Row],[deliveryPost]],SUM(N620:P620))</f>
        <v>6387</v>
      </c>
      <c r="R620" s="41">
        <v>6387</v>
      </c>
      <c r="S620" s="46">
        <f>ТабПозиции[[#This Row],[totalSumm]]-ТабПозиции[[#This Row],[payment]]</f>
        <v>0</v>
      </c>
      <c r="T620" s="18" t="s">
        <v>960</v>
      </c>
      <c r="U620" s="40" t="s">
        <v>545</v>
      </c>
      <c r="V620" s="40" t="s">
        <v>545</v>
      </c>
      <c r="W620" s="40" t="s">
        <v>545</v>
      </c>
      <c r="X620" s="3"/>
      <c r="Y620"/>
    </row>
    <row r="621" spans="1:25" hidden="1" x14ac:dyDescent="0.25">
      <c r="A621" s="10">
        <v>170</v>
      </c>
      <c r="B621" s="1">
        <f>IFERROR(VLOOKUP(ТабПозиции[[#This Row],[orderNum]],ТабЗаказы[#Data],MATCH(B$7,ТабЗаказы[#Headers],0),0),"")</f>
        <v>45480</v>
      </c>
      <c r="C621" t="str">
        <f>MONTH(ТабПозиции[[#This Row],[date]])&amp;"/"&amp;YEAR(ТабПозиции[[#This Row],[date]])</f>
        <v>7/2024</v>
      </c>
      <c r="D621" s="1" t="str">
        <f>IFERROR(VLOOKUP(ТабПозиции[[#This Row],[orderNum]],ТабЗаказы[#Data],MATCH(D$7,ТабЗаказы[#Headers],0),0),"")</f>
        <v/>
      </c>
      <c r="E621" s="1" t="str">
        <f>IFERROR(VLOOKUP(ТабПозиции[[#This Row],[orderNum]],ТабЗаказы[#Data],MATCH(E$7,ТабЗаказы[#Headers],0),0),"")</f>
        <v/>
      </c>
      <c r="F621" s="16" t="s">
        <v>1115</v>
      </c>
      <c r="G621" s="40" t="s">
        <v>545</v>
      </c>
      <c r="I621" s="18">
        <v>45482</v>
      </c>
      <c r="J621" s="10">
        <v>1</v>
      </c>
      <c r="K621" s="10">
        <v>1193</v>
      </c>
      <c r="L621">
        <v>1193</v>
      </c>
      <c r="M621" s="10">
        <v>1256</v>
      </c>
      <c r="N621">
        <f t="shared" si="11"/>
        <v>1256</v>
      </c>
      <c r="P6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Row],[orderNum]],ТабПозиции[orderSumm])&gt;1500),ABS(N621*VLOOKUP(ТабПозиции[[#This Row],[orderNum]],ТабЗаказы[#Data],MATCH("Percent",ТабЗаказы[#Headers],0),0))/100,200/COUNTIF(ТабПозиции[orderNum],ТабПозиции[[#This Row],[orderNum]])),0),"")</f>
        <v>188</v>
      </c>
      <c r="Q621">
        <f>IF(OR(ТабПозиции[[#This Row],[item]]="По штрихкоду",ТабПозиции[[#This Row],[item]]="Посылка"),ТабПозиции[[#This Row],[deliverySumm]]+ТабПозиции[[#This Row],[deliveryPost]],SUM(N621:P621))</f>
        <v>1444</v>
      </c>
      <c r="R621" s="41">
        <v>1444</v>
      </c>
      <c r="S621" s="46">
        <f>ТабПозиции[[#This Row],[totalSumm]]-ТабПозиции[[#This Row],[payment]]</f>
        <v>0</v>
      </c>
      <c r="T621" s="18" t="s">
        <v>970</v>
      </c>
      <c r="U621" s="40" t="s">
        <v>545</v>
      </c>
      <c r="V621" s="40" t="s">
        <v>545</v>
      </c>
      <c r="W621" s="40" t="s">
        <v>545</v>
      </c>
      <c r="X621" s="3"/>
      <c r="Y621"/>
    </row>
    <row r="622" spans="1:25" hidden="1" x14ac:dyDescent="0.25">
      <c r="A622" s="10">
        <v>171</v>
      </c>
      <c r="B622" s="1">
        <f>IFERROR(VLOOKUP(ТабПозиции[[#This Row],[orderNum]],ТабЗаказы[#Data],MATCH(B$7,ТабЗаказы[#Headers],0),0),"")</f>
        <v>45480</v>
      </c>
      <c r="C622" t="str">
        <f>MONTH(ТабПозиции[[#This Row],[date]])&amp;"/"&amp;YEAR(ТабПозиции[[#This Row],[date]])</f>
        <v>7/2024</v>
      </c>
      <c r="D622" s="1" t="str">
        <f>IFERROR(VLOOKUP(ТабПозиции[[#This Row],[orderNum]],ТабЗаказы[#Data],MATCH(D$7,ТабЗаказы[#Headers],0),0),"")</f>
        <v/>
      </c>
      <c r="E622" s="1" t="str">
        <f>IFERROR(VLOOKUP(ТабПозиции[[#This Row],[orderNum]],ТабЗаказы[#Data],MATCH(E$7,ТабЗаказы[#Headers],0),0),"")</f>
        <v/>
      </c>
      <c r="F622" s="16" t="s">
        <v>1116</v>
      </c>
      <c r="G622" s="40" t="s">
        <v>545</v>
      </c>
      <c r="H622" s="12" t="s">
        <v>1117</v>
      </c>
      <c r="I622" s="18">
        <v>45485</v>
      </c>
      <c r="J622" s="10">
        <v>1</v>
      </c>
      <c r="K622" s="10">
        <v>2530</v>
      </c>
      <c r="L622">
        <v>2530</v>
      </c>
      <c r="M622" s="10">
        <v>2530</v>
      </c>
      <c r="N622">
        <f t="shared" si="11"/>
        <v>2530</v>
      </c>
      <c r="O622" s="10">
        <v>340</v>
      </c>
      <c r="P6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Row],[orderNum]],ТабПозиции[orderSumm])&gt;1500),ABS(N622*VLOOKUP(ТабПозиции[[#This Row],[orderNum]],ТабЗаказы[#Data],MATCH("Percent",ТабЗаказы[#Headers],0),0))/100,200/COUNTIF(ТабПозиции[orderNum],ТабПозиции[[#This Row],[orderNum]])),0),"")</f>
        <v>380</v>
      </c>
      <c r="Q622">
        <f>IF(OR(ТабПозиции[[#This Row],[item]]="По штрихкоду",ТабПозиции[[#This Row],[item]]="Посылка"),ТабПозиции[[#This Row],[deliverySumm]]+ТабПозиции[[#This Row],[deliveryPost]],SUM(N622:P622))</f>
        <v>3250</v>
      </c>
      <c r="R622" s="41">
        <v>3250</v>
      </c>
      <c r="S622" s="46">
        <f>ТабПозиции[[#This Row],[totalSumm]]-ТабПозиции[[#This Row],[payment]]</f>
        <v>0</v>
      </c>
      <c r="T622" s="18" t="s">
        <v>1118</v>
      </c>
      <c r="U622" s="40" t="s">
        <v>545</v>
      </c>
      <c r="V622" s="40" t="s">
        <v>545</v>
      </c>
      <c r="W622" s="40" t="s">
        <v>545</v>
      </c>
      <c r="X622" s="3"/>
      <c r="Y622"/>
    </row>
    <row r="623" spans="1:25" hidden="1" x14ac:dyDescent="0.25">
      <c r="A623" s="10">
        <v>166</v>
      </c>
      <c r="B623" s="1">
        <f>IFERROR(VLOOKUP(ТабПозиции[[#This Row],[orderNum]],ТабЗаказы[#Data],MATCH(B$7,ТабЗаказы[#Headers],0),0),"")</f>
        <v>45480</v>
      </c>
      <c r="C623" t="str">
        <f>MONTH(ТабПозиции[[#This Row],[date]])&amp;"/"&amp;YEAR(ТабПозиции[[#This Row],[date]])</f>
        <v>7/2024</v>
      </c>
      <c r="D623" s="1" t="str">
        <f>IFERROR(VLOOKUP(ТабПозиции[[#This Row],[orderNum]],ТабЗаказы[#Data],MATCH(D$7,ТабЗаказы[#Headers],0),0),"")</f>
        <v/>
      </c>
      <c r="E623" s="1" t="str">
        <f>IFERROR(VLOOKUP(ТабПозиции[[#This Row],[orderNum]],ТабЗаказы[#Data],MATCH(E$7,ТабЗаказы[#Headers],0),0),"")</f>
        <v/>
      </c>
      <c r="F623" s="16" t="s">
        <v>1007</v>
      </c>
      <c r="G623" s="40" t="s">
        <v>545</v>
      </c>
      <c r="I623" s="18">
        <v>45483</v>
      </c>
      <c r="J623" s="10">
        <v>1</v>
      </c>
      <c r="K623" s="10">
        <v>492</v>
      </c>
      <c r="L623">
        <v>492</v>
      </c>
      <c r="M623" s="10">
        <v>518</v>
      </c>
      <c r="N623">
        <f t="shared" si="11"/>
        <v>518</v>
      </c>
      <c r="P6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Row],[orderNum]],ТабПозиции[orderSumm])&gt;1500),ABS(N623*VLOOKUP(ТабПозиции[[#This Row],[orderNum]],ТабЗаказы[#Data],MATCH("Percent",ТабЗаказы[#Headers],0),0))/100,200/COUNTIF(ТабПозиции[orderNum],ТабПозиции[[#This Row],[orderNum]])),0),"")</f>
        <v>52</v>
      </c>
      <c r="Q623">
        <f>IF(OR(ТабПозиции[[#This Row],[item]]="По штрихкоду",ТабПозиции[[#This Row],[item]]="Посылка"),ТабПозиции[[#This Row],[deliverySumm]]+ТабПозиции[[#This Row],[deliveryPost]],SUM(N623:P623))</f>
        <v>570</v>
      </c>
      <c r="R623" s="41">
        <v>570</v>
      </c>
      <c r="S623" s="46">
        <f>ТабПозиции[[#This Row],[totalSumm]]-ТабПозиции[[#This Row],[payment]]</f>
        <v>0</v>
      </c>
      <c r="T623" s="18" t="s">
        <v>970</v>
      </c>
      <c r="U623" s="40" t="s">
        <v>545</v>
      </c>
      <c r="V623" s="40" t="s">
        <v>545</v>
      </c>
      <c r="W623" s="40" t="s">
        <v>545</v>
      </c>
      <c r="X623" s="3"/>
      <c r="Y623"/>
    </row>
    <row r="624" spans="1:25" hidden="1" x14ac:dyDescent="0.25">
      <c r="A624" s="10">
        <v>166</v>
      </c>
      <c r="B624" s="1">
        <f>IFERROR(VLOOKUP(ТабПозиции[[#This Row],[orderNum]],ТабЗаказы[#Data],MATCH(B$7,ТабЗаказы[#Headers],0),0),"")</f>
        <v>45480</v>
      </c>
      <c r="C624" t="str">
        <f>MONTH(ТабПозиции[[#This Row],[date]])&amp;"/"&amp;YEAR(ТабПозиции[[#This Row],[date]])</f>
        <v>7/2024</v>
      </c>
      <c r="D624" s="1" t="str">
        <f>IFERROR(VLOOKUP(ТабПозиции[[#This Row],[orderNum]],ТабЗаказы[#Data],MATCH(D$7,ТабЗаказы[#Headers],0),0),"")</f>
        <v/>
      </c>
      <c r="E624" s="1" t="str">
        <f>IFERROR(VLOOKUP(ТабПозиции[[#This Row],[orderNum]],ТабЗаказы[#Data],MATCH(E$7,ТабЗаказы[#Headers],0),0),"")</f>
        <v/>
      </c>
      <c r="F624" s="16" t="s">
        <v>1119</v>
      </c>
      <c r="G624" s="40" t="s">
        <v>545</v>
      </c>
      <c r="I624" s="18">
        <v>45483</v>
      </c>
      <c r="J624" s="10">
        <v>1</v>
      </c>
      <c r="K624" s="10">
        <v>1191</v>
      </c>
      <c r="L624">
        <v>1191</v>
      </c>
      <c r="M624" s="10">
        <v>1254</v>
      </c>
      <c r="N624">
        <f t="shared" si="11"/>
        <v>1254</v>
      </c>
      <c r="P6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Row],[orderNum]],ТабПозиции[orderSumm])&gt;1500),ABS(N624*VLOOKUP(ТабПозиции[[#This Row],[orderNum]],ТабЗаказы[#Data],MATCH("Percent",ТабЗаказы[#Headers],0),0))/100,200/COUNTIF(ТабПозиции[orderNum],ТабПозиции[[#This Row],[orderNum]])),0),"")</f>
        <v>125</v>
      </c>
      <c r="Q624">
        <f>IF(OR(ТабПозиции[[#This Row],[item]]="По штрихкоду",ТабПозиции[[#This Row],[item]]="Посылка"),ТабПозиции[[#This Row],[deliverySumm]]+ТабПозиции[[#This Row],[deliveryPost]],SUM(N624:P624))</f>
        <v>1379</v>
      </c>
      <c r="R624" s="41">
        <v>1379</v>
      </c>
      <c r="S624" s="46">
        <f>ТабПозиции[[#This Row],[totalSumm]]-ТабПозиции[[#This Row],[payment]]</f>
        <v>0</v>
      </c>
      <c r="T624" s="18" t="s">
        <v>970</v>
      </c>
      <c r="U624" s="40" t="s">
        <v>545</v>
      </c>
      <c r="V624" s="40" t="s">
        <v>545</v>
      </c>
      <c r="W624" s="40" t="s">
        <v>545</v>
      </c>
      <c r="X624" s="3"/>
      <c r="Y624"/>
    </row>
    <row r="625" spans="1:25" hidden="1" x14ac:dyDescent="0.25">
      <c r="A625" s="10">
        <v>166</v>
      </c>
      <c r="B625" s="1">
        <f>IFERROR(VLOOKUP(ТабПозиции[[#This Row],[orderNum]],ТабЗаказы[#Data],MATCH(B$7,ТабЗаказы[#Headers],0),0),"")</f>
        <v>45480</v>
      </c>
      <c r="C625" t="str">
        <f>MONTH(ТабПозиции[[#This Row],[date]])&amp;"/"&amp;YEAR(ТабПозиции[[#This Row],[date]])</f>
        <v>7/2024</v>
      </c>
      <c r="D625" s="1" t="str">
        <f>IFERROR(VLOOKUP(ТабПозиции[[#This Row],[orderNum]],ТабЗаказы[#Data],MATCH(D$7,ТабЗаказы[#Headers],0),0),"")</f>
        <v/>
      </c>
      <c r="E625" s="1" t="str">
        <f>IFERROR(VLOOKUP(ТабПозиции[[#This Row],[orderNum]],ТабЗаказы[#Data],MATCH(E$7,ТабЗаказы[#Headers],0),0),"")</f>
        <v/>
      </c>
      <c r="F625" s="16" t="s">
        <v>1120</v>
      </c>
      <c r="G625" s="40" t="s">
        <v>545</v>
      </c>
      <c r="I625" s="18">
        <v>45482</v>
      </c>
      <c r="J625" s="10">
        <v>1</v>
      </c>
      <c r="K625" s="10">
        <v>397</v>
      </c>
      <c r="L625">
        <v>397</v>
      </c>
      <c r="M625" s="10">
        <v>418</v>
      </c>
      <c r="N625">
        <f t="shared" si="11"/>
        <v>418</v>
      </c>
      <c r="P6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Row],[orderNum]],ТабПозиции[orderSumm])&gt;1500),ABS(N625*VLOOKUP(ТабПозиции[[#This Row],[orderNum]],ТабЗаказы[#Data],MATCH("Percent",ТабЗаказы[#Headers],0),0))/100,200/COUNTIF(ТабПозиции[orderNum],ТабПозиции[[#This Row],[orderNum]])),0),"")</f>
        <v>42</v>
      </c>
      <c r="Q625">
        <f>IF(OR(ТабПозиции[[#This Row],[item]]="По штрихкоду",ТабПозиции[[#This Row],[item]]="Посылка"),ТабПозиции[[#This Row],[deliverySumm]]+ТабПозиции[[#This Row],[deliveryPost]],SUM(N625:P625))</f>
        <v>460</v>
      </c>
      <c r="R625" s="41">
        <v>460</v>
      </c>
      <c r="S625" s="46">
        <f>ТабПозиции[[#This Row],[totalSumm]]-ТабПозиции[[#This Row],[payment]]</f>
        <v>0</v>
      </c>
      <c r="T625" s="18" t="s">
        <v>960</v>
      </c>
      <c r="U625" s="40" t="s">
        <v>545</v>
      </c>
      <c r="V625" s="40" t="s">
        <v>545</v>
      </c>
      <c r="W625" s="40" t="s">
        <v>545</v>
      </c>
      <c r="X625" s="3"/>
      <c r="Y625"/>
    </row>
    <row r="626" spans="1:25" hidden="1" x14ac:dyDescent="0.25">
      <c r="A626" s="10">
        <v>163</v>
      </c>
      <c r="B626" s="1">
        <f>IFERROR(VLOOKUP(ТабПозиции[[#This Row],[orderNum]],ТабЗаказы[#Data],MATCH(B$7,ТабЗаказы[#Headers],0),0),"")</f>
        <v>45476</v>
      </c>
      <c r="C626" t="str">
        <f>MONTH(ТабПозиции[[#This Row],[date]])&amp;"/"&amp;YEAR(ТабПозиции[[#This Row],[date]])</f>
        <v>7/2024</v>
      </c>
      <c r="D626" s="1" t="str">
        <f>IFERROR(VLOOKUP(ТабПозиции[[#This Row],[orderNum]],ТабЗаказы[#Data],MATCH(D$7,ТабЗаказы[#Headers],0),0),"")</f>
        <v/>
      </c>
      <c r="E626" s="1" t="str">
        <f>IFERROR(VLOOKUP(ТабПозиции[[#This Row],[orderNum]],ТабЗаказы[#Data],MATCH(E$7,ТабЗаказы[#Headers],0),0),"")</f>
        <v/>
      </c>
      <c r="F626" s="16" t="s">
        <v>1121</v>
      </c>
      <c r="G626" s="40" t="s">
        <v>545</v>
      </c>
      <c r="I626" s="18">
        <v>45490</v>
      </c>
      <c r="J626" s="10">
        <v>1</v>
      </c>
      <c r="K626" s="10">
        <v>435</v>
      </c>
      <c r="L626">
        <v>435</v>
      </c>
      <c r="M626" s="10">
        <v>449</v>
      </c>
      <c r="N626">
        <f t="shared" si="11"/>
        <v>449</v>
      </c>
      <c r="P6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Row],[orderNum]],ТабПозиции[orderSumm])&gt;1500),ABS(N626*VLOOKUP(ТабПозиции[[#This Row],[orderNum]],ТабЗаказы[#Data],MATCH("Percent",ТабЗаказы[#Headers],0),0))/100,200/COUNTIF(ТабПозиции[orderNum],ТабПозиции[[#This Row],[orderNum]])),0),"")</f>
        <v>67</v>
      </c>
      <c r="Q626">
        <f>IF(OR(ТабПозиции[[#This Row],[item]]="По штрихкоду",ТабПозиции[[#This Row],[item]]="Посылка"),ТабПозиции[[#This Row],[deliverySumm]]+ТабПозиции[[#This Row],[deliveryPost]],SUM(N626:P626))</f>
        <v>516</v>
      </c>
      <c r="R626" s="41">
        <v>516</v>
      </c>
      <c r="S626" s="46">
        <f>ТабПозиции[[#This Row],[totalSumm]]-ТабПозиции[[#This Row],[payment]]</f>
        <v>0</v>
      </c>
      <c r="T626" s="18" t="s">
        <v>960</v>
      </c>
      <c r="U626" s="40" t="s">
        <v>545</v>
      </c>
      <c r="V626" s="40" t="s">
        <v>545</v>
      </c>
      <c r="W626" s="40" t="s">
        <v>545</v>
      </c>
      <c r="X626" s="3"/>
      <c r="Y626"/>
    </row>
    <row r="627" spans="1:25" hidden="1" x14ac:dyDescent="0.25">
      <c r="A627" s="10">
        <v>171</v>
      </c>
      <c r="B627" s="1">
        <f>IFERROR(VLOOKUP(ТабПозиции[[#This Row],[orderNum]],ТабЗаказы[#Data],MATCH(B$7,ТабЗаказы[#Headers],0),0),"")</f>
        <v>45480</v>
      </c>
      <c r="C627" t="str">
        <f>MONTH(ТабПозиции[[#This Row],[date]])&amp;"/"&amp;YEAR(ТабПозиции[[#This Row],[date]])</f>
        <v>7/2024</v>
      </c>
      <c r="D627" s="1" t="str">
        <f>IFERROR(VLOOKUP(ТабПозиции[[#This Row],[orderNum]],ТабЗаказы[#Data],MATCH(D$7,ТабЗаказы[#Headers],0),0),"")</f>
        <v/>
      </c>
      <c r="E627" s="1" t="str">
        <f>IFERROR(VLOOKUP(ТабПозиции[[#This Row],[orderNum]],ТабЗаказы[#Data],MATCH(E$7,ТабЗаказы[#Headers],0),0),"")</f>
        <v/>
      </c>
      <c r="F627" s="16" t="s">
        <v>1122</v>
      </c>
      <c r="G627" s="40" t="s">
        <v>545</v>
      </c>
      <c r="I627" s="18">
        <v>45485</v>
      </c>
      <c r="J627" s="10">
        <v>1</v>
      </c>
      <c r="K627" s="10">
        <v>413</v>
      </c>
      <c r="L627">
        <v>413</v>
      </c>
      <c r="M627" s="10">
        <v>435</v>
      </c>
      <c r="N627">
        <f t="shared" si="11"/>
        <v>435</v>
      </c>
      <c r="P6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Row],[orderNum]],ТабПозиции[orderSumm])&gt;1500),ABS(N627*VLOOKUP(ТабПозиции[[#This Row],[orderNum]],ТабЗаказы[#Data],MATCH("Percent",ТабЗаказы[#Headers],0),0))/100,200/COUNTIF(ТабПозиции[orderNum],ТабПозиции[[#This Row],[orderNum]])),0),"")</f>
        <v>65</v>
      </c>
      <c r="Q627">
        <f>IF(OR(ТабПозиции[[#This Row],[item]]="По штрихкоду",ТабПозиции[[#This Row],[item]]="Посылка"),ТабПозиции[[#This Row],[deliverySumm]]+ТабПозиции[[#This Row],[deliveryPost]],SUM(N627:P627))</f>
        <v>500</v>
      </c>
      <c r="R627" s="41">
        <v>500</v>
      </c>
      <c r="S627" s="46">
        <f>ТабПозиции[[#This Row],[totalSumm]]-ТабПозиции[[#This Row],[payment]]</f>
        <v>0</v>
      </c>
      <c r="T627" s="18" t="s">
        <v>970</v>
      </c>
      <c r="U627" s="40" t="s">
        <v>545</v>
      </c>
      <c r="V627" s="40" t="s">
        <v>545</v>
      </c>
      <c r="W627" s="40" t="s">
        <v>545</v>
      </c>
      <c r="X627" s="3"/>
      <c r="Y627"/>
    </row>
    <row r="628" spans="1:25" hidden="1" x14ac:dyDescent="0.25">
      <c r="A628" s="10">
        <v>171</v>
      </c>
      <c r="B628" s="1">
        <f>IFERROR(VLOOKUP(ТабПозиции[[#This Row],[orderNum]],ТабЗаказы[#Data],MATCH(B$7,ТабЗаказы[#Headers],0),0),"")</f>
        <v>45480</v>
      </c>
      <c r="C628" t="str">
        <f>MONTH(ТабПозиции[[#This Row],[date]])&amp;"/"&amp;YEAR(ТабПозиции[[#This Row],[date]])</f>
        <v>7/2024</v>
      </c>
      <c r="D628" s="1" t="str">
        <f>IFERROR(VLOOKUP(ТабПозиции[[#This Row],[orderNum]],ТабЗаказы[#Data],MATCH(D$7,ТабЗаказы[#Headers],0),0),"")</f>
        <v/>
      </c>
      <c r="E628" s="1" t="str">
        <f>IFERROR(VLOOKUP(ТабПозиции[[#This Row],[orderNum]],ТабЗаказы[#Data],MATCH(E$7,ТабЗаказы[#Headers],0),0),"")</f>
        <v/>
      </c>
      <c r="F628" s="16" t="s">
        <v>1123</v>
      </c>
      <c r="G628" s="40" t="s">
        <v>545</v>
      </c>
      <c r="I628" s="18">
        <v>45485</v>
      </c>
      <c r="J628" s="10">
        <v>1</v>
      </c>
      <c r="K628" s="10">
        <v>340</v>
      </c>
      <c r="L628">
        <v>340</v>
      </c>
      <c r="M628" s="10">
        <v>358</v>
      </c>
      <c r="N628">
        <f t="shared" si="11"/>
        <v>358</v>
      </c>
      <c r="P6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Row],[orderNum]],ТабПозиции[orderSumm])&gt;1500),ABS(N628*VLOOKUP(ТабПозиции[[#This Row],[orderNum]],ТабЗаказы[#Data],MATCH("Percent",ТабЗаказы[#Headers],0),0))/100,200/COUNTIF(ТабПозиции[orderNum],ТабПозиции[[#This Row],[orderNum]])),0),"")</f>
        <v>54</v>
      </c>
      <c r="Q628">
        <f>IF(OR(ТабПозиции[[#This Row],[item]]="По штрихкоду",ТабПозиции[[#This Row],[item]]="Посылка"),ТабПозиции[[#This Row],[deliverySumm]]+ТабПозиции[[#This Row],[deliveryPost]],SUM(N628:P628))</f>
        <v>412</v>
      </c>
      <c r="R628" s="41">
        <v>412</v>
      </c>
      <c r="S628" s="46">
        <f>ТабПозиции[[#This Row],[totalSumm]]-ТабПозиции[[#This Row],[payment]]</f>
        <v>0</v>
      </c>
      <c r="T628" s="18" t="s">
        <v>970</v>
      </c>
      <c r="U628" s="40" t="s">
        <v>545</v>
      </c>
      <c r="V628" s="40" t="s">
        <v>545</v>
      </c>
      <c r="W628" s="40" t="s">
        <v>545</v>
      </c>
      <c r="X628" s="3"/>
      <c r="Y628"/>
    </row>
    <row r="629" spans="1:25" hidden="1" x14ac:dyDescent="0.25">
      <c r="A629" s="10">
        <v>173</v>
      </c>
      <c r="B629" s="1">
        <f>IFERROR(VLOOKUP(ТабПозиции[[#This Row],[orderNum]],ТабЗаказы[#Data],MATCH(B$7,ТабЗаказы[#Headers],0),0),"")</f>
        <v>45485</v>
      </c>
      <c r="C629" t="str">
        <f>MONTH(ТабПозиции[[#This Row],[date]])&amp;"/"&amp;YEAR(ТабПозиции[[#This Row],[date]])</f>
        <v>7/2024</v>
      </c>
      <c r="D629" s="1" t="str">
        <f>IFERROR(VLOOKUP(ТабПозиции[[#This Row],[orderNum]],ТабЗаказы[#Data],MATCH(D$7,ТабЗаказы[#Headers],0),0),"")</f>
        <v/>
      </c>
      <c r="E629" s="1" t="str">
        <f>IFERROR(VLOOKUP(ТабПозиции[[#This Row],[orderNum]],ТабЗаказы[#Data],MATCH(E$7,ТабЗаказы[#Headers],0),0),"")</f>
        <v/>
      </c>
      <c r="F629" s="10" t="s">
        <v>32</v>
      </c>
      <c r="G629" s="40" t="s">
        <v>545</v>
      </c>
      <c r="I629" s="18">
        <v>45485</v>
      </c>
      <c r="J629" s="10">
        <v>1</v>
      </c>
      <c r="K629" s="10">
        <v>5780</v>
      </c>
      <c r="L629">
        <v>5780</v>
      </c>
      <c r="M629" s="10">
        <v>5780</v>
      </c>
      <c r="N629">
        <f t="shared" si="11"/>
        <v>5780</v>
      </c>
      <c r="P6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Row],[orderNum]],ТабПозиции[orderSumm])&gt;1500),ABS(N629*VLOOKUP(ТабПозиции[[#This Row],[orderNum]],ТабЗаказы[#Data],MATCH("Percent",ТабЗаказы[#Headers],0),0))/100,200/COUNTIF(ТабПозиции[orderNum],ТабПозиции[[#This Row],[orderNum]])),0),"")</f>
        <v>867</v>
      </c>
      <c r="Q629">
        <f>IF(OR(ТабПозиции[[#This Row],[item]]="По штрихкоду",ТабПозиции[[#This Row],[item]]="Посылка"),ТабПозиции[[#This Row],[deliverySumm]]+ТабПозиции[[#This Row],[deliveryPost]],SUM(N629:P629))</f>
        <v>867</v>
      </c>
      <c r="R629" s="41">
        <v>867</v>
      </c>
      <c r="S629" s="46">
        <f>ТабПозиции[[#This Row],[totalSumm]]-ТабПозиции[[#This Row],[payment]]</f>
        <v>0</v>
      </c>
      <c r="T629" s="18" t="s">
        <v>970</v>
      </c>
      <c r="U629" s="40" t="s">
        <v>545</v>
      </c>
      <c r="V629" s="40" t="s">
        <v>545</v>
      </c>
      <c r="W629" s="40" t="s">
        <v>545</v>
      </c>
      <c r="X629" s="3"/>
      <c r="Y629"/>
    </row>
    <row r="630" spans="1:25" hidden="1" x14ac:dyDescent="0.25">
      <c r="A630" s="10">
        <v>174</v>
      </c>
      <c r="B630" s="1">
        <f>IFERROR(VLOOKUP(ТабПозиции[[#This Row],[orderNum]],ТабЗаказы[#Data],MATCH(B$7,ТабЗаказы[#Headers],0),0),"")</f>
        <v>45485</v>
      </c>
      <c r="C630" t="str">
        <f>MONTH(ТабПозиции[[#This Row],[date]])&amp;"/"&amp;YEAR(ТабПозиции[[#This Row],[date]])</f>
        <v>7/2024</v>
      </c>
      <c r="D630" s="1" t="str">
        <f>IFERROR(VLOOKUP(ТабПозиции[[#This Row],[orderNum]],ТабЗаказы[#Data],MATCH(D$7,ТабЗаказы[#Headers],0),0),"")</f>
        <v/>
      </c>
      <c r="E630" s="1" t="str">
        <f>IFERROR(VLOOKUP(ТабПозиции[[#This Row],[orderNum]],ТабЗаказы[#Data],MATCH(E$7,ТабЗаказы[#Headers],0),0),"")</f>
        <v/>
      </c>
      <c r="F630" s="10" t="s">
        <v>32</v>
      </c>
      <c r="G630" s="40" t="s">
        <v>545</v>
      </c>
      <c r="I630" s="18">
        <v>45485</v>
      </c>
      <c r="J630" s="10">
        <v>1</v>
      </c>
      <c r="K630" s="10">
        <f>1113*10</f>
        <v>11130</v>
      </c>
      <c r="L630">
        <v>11130</v>
      </c>
      <c r="M630" s="10">
        <f>1113*10</f>
        <v>11130</v>
      </c>
      <c r="N630">
        <f t="shared" si="11"/>
        <v>11130</v>
      </c>
      <c r="P6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Row],[orderNum]],ТабПозиции[orderSumm])&gt;1500),ABS(N630*VLOOKUP(ТабПозиции[[#This Row],[orderNum]],ТабЗаказы[#Data],MATCH("Percent",ТабЗаказы[#Headers],0),0))/100,200/COUNTIF(ТабПозиции[orderNum],ТабПозиции[[#This Row],[orderNum]])),0),"")</f>
        <v>1113</v>
      </c>
      <c r="Q630">
        <f>IF(OR(ТабПозиции[[#This Row],[item]]="По штрихкоду",ТабПозиции[[#This Row],[item]]="Посылка"),ТабПозиции[[#This Row],[deliverySumm]]+ТабПозиции[[#This Row],[deliveryPost]],SUM(N630:P630))</f>
        <v>1113</v>
      </c>
      <c r="R630" s="41">
        <v>1113</v>
      </c>
      <c r="S630" s="46">
        <f>ТабПозиции[[#This Row],[totalSumm]]-ТабПозиции[[#This Row],[payment]]</f>
        <v>0</v>
      </c>
      <c r="T630" s="18" t="s">
        <v>960</v>
      </c>
      <c r="U630" s="40" t="s">
        <v>545</v>
      </c>
      <c r="V630" s="40" t="s">
        <v>545</v>
      </c>
      <c r="W630" s="40" t="s">
        <v>545</v>
      </c>
      <c r="X630" s="3"/>
      <c r="Y630"/>
    </row>
    <row r="631" spans="1:25" hidden="1" x14ac:dyDescent="0.25">
      <c r="A631" s="10">
        <v>172</v>
      </c>
      <c r="B631" s="1">
        <f>IFERROR(VLOOKUP(ТабПозиции[[#This Row],[orderNum]],ТабЗаказы[#Data],MATCH(B$7,ТабЗаказы[#Headers],0),0),"")</f>
        <v>45481</v>
      </c>
      <c r="C631" t="str">
        <f>MONTH(ТабПозиции[[#This Row],[date]])&amp;"/"&amp;YEAR(ТабПозиции[[#This Row],[date]])</f>
        <v>7/2024</v>
      </c>
      <c r="D631" s="1" t="str">
        <f>IFERROR(VLOOKUP(ТабПозиции[[#This Row],[orderNum]],ТабЗаказы[#Data],MATCH(D$7,ТабЗаказы[#Headers],0),0),"")</f>
        <v/>
      </c>
      <c r="E631" s="1" t="str">
        <f>IFERROR(VLOOKUP(ТабПозиции[[#This Row],[orderNum]],ТабЗаказы[#Data],MATCH(E$7,ТабЗаказы[#Headers],0),0),"")</f>
        <v/>
      </c>
      <c r="F631" s="16" t="s">
        <v>1124</v>
      </c>
      <c r="G631" s="40" t="s">
        <v>545</v>
      </c>
      <c r="I631" s="18">
        <v>45487</v>
      </c>
      <c r="J631" s="10">
        <v>1</v>
      </c>
      <c r="K631" s="10">
        <v>345</v>
      </c>
      <c r="L631">
        <v>345</v>
      </c>
      <c r="M631" s="10">
        <v>360</v>
      </c>
      <c r="N631">
        <f t="shared" si="11"/>
        <v>360</v>
      </c>
      <c r="P6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Row],[orderNum]],ТабПозиции[orderSumm])&gt;1500),ABS(N631*VLOOKUP(ТабПозиции[[#This Row],[orderNum]],ТабЗаказы[#Data],MATCH("Percent",ТабЗаказы[#Headers],0),0))/100,200/COUNTIF(ТабПозиции[orderNum],ТабПозиции[[#This Row],[orderNum]])),0),"")</f>
        <v>54</v>
      </c>
      <c r="Q631">
        <f>IF(OR(ТабПозиции[[#This Row],[item]]="По штрихкоду",ТабПозиции[[#This Row],[item]]="Посылка"),ТабПозиции[[#This Row],[deliverySumm]]+ТабПозиции[[#This Row],[deliveryPost]],SUM(N631:P631))</f>
        <v>414</v>
      </c>
      <c r="R631" s="41">
        <v>414</v>
      </c>
      <c r="S631" s="46">
        <f>ТабПозиции[[#This Row],[totalSumm]]-ТабПозиции[[#This Row],[payment]]</f>
        <v>0</v>
      </c>
      <c r="T631" s="18" t="s">
        <v>970</v>
      </c>
      <c r="U631" s="40" t="s">
        <v>545</v>
      </c>
      <c r="V631" s="40" t="s">
        <v>545</v>
      </c>
      <c r="W631" s="40" t="s">
        <v>545</v>
      </c>
      <c r="X631" s="3"/>
      <c r="Y631"/>
    </row>
    <row r="632" spans="1:25" hidden="1" x14ac:dyDescent="0.25">
      <c r="A632" s="10">
        <v>172</v>
      </c>
      <c r="B632" s="1">
        <f>IFERROR(VLOOKUP(ТабПозиции[[#This Row],[orderNum]],ТабЗаказы[#Data],MATCH(B$7,ТабЗаказы[#Headers],0),0),"")</f>
        <v>45481</v>
      </c>
      <c r="C632" t="str">
        <f>MONTH(ТабПозиции[[#This Row],[date]])&amp;"/"&amp;YEAR(ТабПозиции[[#This Row],[date]])</f>
        <v>7/2024</v>
      </c>
      <c r="D632" s="1" t="str">
        <f>IFERROR(VLOOKUP(ТабПозиции[[#This Row],[orderNum]],ТабЗаказы[#Data],MATCH(D$7,ТабЗаказы[#Headers],0),0),"")</f>
        <v/>
      </c>
      <c r="E632" s="1" t="str">
        <f>IFERROR(VLOOKUP(ТабПозиции[[#This Row],[orderNum]],ТабЗаказы[#Data],MATCH(E$7,ТабЗаказы[#Headers],0),0),"")</f>
        <v/>
      </c>
      <c r="F632" s="16" t="s">
        <v>1125</v>
      </c>
      <c r="G632" s="40" t="s">
        <v>545</v>
      </c>
      <c r="I632" s="18">
        <v>45489</v>
      </c>
      <c r="J632" s="10">
        <v>1</v>
      </c>
      <c r="K632" s="10">
        <v>626</v>
      </c>
      <c r="L632">
        <v>626</v>
      </c>
      <c r="M632" s="10">
        <v>674</v>
      </c>
      <c r="N632">
        <f t="shared" si="11"/>
        <v>674</v>
      </c>
      <c r="P6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Row],[orderNum]],ТабПозиции[orderSumm])&gt;1500),ABS(N632*VLOOKUP(ТабПозиции[[#This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632">
        <f>IF(OR(ТабПозиции[[#This Row],[item]]="По штрихкоду",ТабПозиции[[#This Row],[item]]="Посылка"),ТабПозиции[[#This Row],[deliverySumm]]+ТабПозиции[[#This Row],[deliveryPost]],SUM(N632:P632))</f>
        <v>775</v>
      </c>
      <c r="R632" s="41">
        <v>775</v>
      </c>
      <c r="S632" s="46">
        <f>ТабПозиции[[#This Row],[totalSumm]]-ТабПозиции[[#This Row],[payment]]</f>
        <v>0</v>
      </c>
      <c r="T632" s="18" t="s">
        <v>960</v>
      </c>
      <c r="U632" s="40" t="s">
        <v>545</v>
      </c>
      <c r="V632" s="40" t="s">
        <v>545</v>
      </c>
      <c r="W632" s="40" t="s">
        <v>545</v>
      </c>
      <c r="X632" s="3"/>
      <c r="Y632"/>
    </row>
    <row r="633" spans="1:25" hidden="1" x14ac:dyDescent="0.25">
      <c r="A633" s="10">
        <v>172</v>
      </c>
      <c r="B633" s="1">
        <f>IFERROR(VLOOKUP(ТабПозиции[[#This Row],[orderNum]],ТабЗаказы[#Data],MATCH(B$7,ТабЗаказы[#Headers],0),0),"")</f>
        <v>45481</v>
      </c>
      <c r="C633" t="str">
        <f>MONTH(ТабПозиции[[#This Row],[date]])&amp;"/"&amp;YEAR(ТабПозиции[[#This Row],[date]])</f>
        <v>7/2024</v>
      </c>
      <c r="D633" s="1" t="str">
        <f>IFERROR(VLOOKUP(ТабПозиции[[#This Row],[orderNum]],ТабЗаказы[#Data],MATCH(D$7,ТабЗаказы[#Headers],0),0),"")</f>
        <v/>
      </c>
      <c r="E633" s="1" t="str">
        <f>IFERROR(VLOOKUP(ТабПозиции[[#This Row],[orderNum]],ТабЗаказы[#Data],MATCH(E$7,ТабЗаказы[#Headers],0),0),"")</f>
        <v/>
      </c>
      <c r="F633" s="16" t="s">
        <v>1126</v>
      </c>
      <c r="G633" s="40" t="s">
        <v>545</v>
      </c>
      <c r="I633" s="18">
        <v>45489</v>
      </c>
      <c r="J633" s="10">
        <v>1</v>
      </c>
      <c r="K633" s="10">
        <v>787</v>
      </c>
      <c r="L633">
        <v>787</v>
      </c>
      <c r="M633" s="10">
        <v>806</v>
      </c>
      <c r="N633">
        <f t="shared" si="11"/>
        <v>806</v>
      </c>
      <c r="P6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Row],[orderNum]],ТабПозиции[orderSumm])&gt;1500),ABS(N633*VLOOKUP(ТабПозиции[[#This Row],[orderNum]],ТабЗаказы[#Data],MATCH("Percent",ТабЗаказы[#Headers],0),0))/100,200/COUNTIF(ТабПозиции[orderNum],ТабПозиции[[#This Row],[orderNum]])),0),"")</f>
        <v>121</v>
      </c>
      <c r="Q633">
        <f>IF(OR(ТабПозиции[[#This Row],[item]]="По штрихкоду",ТабПозиции[[#This Row],[item]]="Посылка"),ТабПозиции[[#This Row],[deliverySumm]]+ТабПозиции[[#This Row],[deliveryPost]],SUM(N633:P633))</f>
        <v>927</v>
      </c>
      <c r="R633" s="41">
        <v>927</v>
      </c>
      <c r="S633" s="46">
        <f>ТабПозиции[[#This Row],[totalSumm]]-ТабПозиции[[#This Row],[payment]]</f>
        <v>0</v>
      </c>
      <c r="T633" s="18" t="s">
        <v>960</v>
      </c>
      <c r="U633" s="40" t="s">
        <v>545</v>
      </c>
      <c r="V633" s="40" t="s">
        <v>545</v>
      </c>
      <c r="W633" s="40" t="s">
        <v>545</v>
      </c>
      <c r="X633" s="3"/>
      <c r="Y633"/>
    </row>
    <row r="634" spans="1:25" hidden="1" x14ac:dyDescent="0.25">
      <c r="A634" s="10">
        <v>175</v>
      </c>
      <c r="B634" s="1">
        <f>IFERROR(VLOOKUP(ТабПозиции[[#This Row],[orderNum]],ТабЗаказы[#Data],MATCH(B$7,ТабЗаказы[#Headers],0),0),"")</f>
        <v>45485</v>
      </c>
      <c r="C634" t="str">
        <f>MONTH(ТабПозиции[[#This Row],[date]])&amp;"/"&amp;YEAR(ТабПозиции[[#This Row],[date]])</f>
        <v>7/2024</v>
      </c>
      <c r="D634" s="1" t="str">
        <f>IFERROR(VLOOKUP(ТабПозиции[[#This Row],[orderNum]],ТабЗаказы[#Data],MATCH(D$7,ТабЗаказы[#Headers],0),0),"")</f>
        <v/>
      </c>
      <c r="E634" s="1" t="str">
        <f>IFERROR(VLOOKUP(ТабПозиции[[#This Row],[orderNum]],ТабЗаказы[#Data],MATCH(E$7,ТабЗаказы[#Headers],0),0),"")</f>
        <v/>
      </c>
      <c r="F634" s="16" t="s">
        <v>1127</v>
      </c>
      <c r="G634" s="40" t="s">
        <v>545</v>
      </c>
      <c r="I634" s="18">
        <v>45494</v>
      </c>
      <c r="J634" s="10">
        <v>2</v>
      </c>
      <c r="K634" s="10">
        <v>453</v>
      </c>
      <c r="L634">
        <v>906</v>
      </c>
      <c r="M634" s="10">
        <v>597</v>
      </c>
      <c r="N634">
        <f t="shared" si="11"/>
        <v>1194</v>
      </c>
      <c r="P6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Row],[orderNum]],ТабПозиции[orderSumm])&gt;1500),ABS(N634*VLOOKUP(ТабПозиции[[#This Row],[orderNum]],ТабЗаказы[#Data],MATCH("Percent",ТабЗаказы[#Headers],0),0))/100,200/COUNTIF(ТабПозиции[orderNum],ТабПозиции[[#This Row],[orderNum]])),0),"")</f>
        <v>179</v>
      </c>
      <c r="Q634">
        <f>IF(OR(ТабПозиции[[#This Row],[item]]="По штрихкоду",ТабПозиции[[#This Row],[item]]="Посылка"),ТабПозиции[[#This Row],[deliverySumm]]+ТабПозиции[[#This Row],[deliveryPost]],SUM(N634:P634))</f>
        <v>1373</v>
      </c>
      <c r="R634" s="41">
        <v>1373</v>
      </c>
      <c r="S634" s="46">
        <f>ТабПозиции[[#This Row],[totalSumm]]-ТабПозиции[[#This Row],[payment]]</f>
        <v>0</v>
      </c>
      <c r="T634" s="18" t="s">
        <v>960</v>
      </c>
      <c r="U634" s="40" t="s">
        <v>545</v>
      </c>
      <c r="V634" s="40" t="s">
        <v>545</v>
      </c>
      <c r="W634" s="40" t="s">
        <v>545</v>
      </c>
      <c r="X634" s="3"/>
      <c r="Y634"/>
    </row>
    <row r="635" spans="1:25" hidden="1" x14ac:dyDescent="0.25">
      <c r="A635" s="10">
        <v>175</v>
      </c>
      <c r="B635" s="1">
        <f>IFERROR(VLOOKUP(ТабПозиции[[#This Row],[orderNum]],ТабЗаказы[#Data],MATCH(B$7,ТабЗаказы[#Headers],0),0),"")</f>
        <v>45485</v>
      </c>
      <c r="C635" t="str">
        <f>MONTH(ТабПозиции[[#This Row],[date]])&amp;"/"&amp;YEAR(ТабПозиции[[#This Row],[date]])</f>
        <v>7/2024</v>
      </c>
      <c r="D635" s="1" t="str">
        <f>IFERROR(VLOOKUP(ТабПозиции[[#This Row],[orderNum]],ТабЗаказы[#Data],MATCH(D$7,ТабЗаказы[#Headers],0),0),"")</f>
        <v/>
      </c>
      <c r="E635" s="1" t="str">
        <f>IFERROR(VLOOKUP(ТабПозиции[[#This Row],[orderNum]],ТабЗаказы[#Data],MATCH(E$7,ТабЗаказы[#Headers],0),0),"")</f>
        <v/>
      </c>
      <c r="F635" s="16" t="s">
        <v>1128</v>
      </c>
      <c r="G635" s="40" t="s">
        <v>545</v>
      </c>
      <c r="I635" s="18">
        <v>45493</v>
      </c>
      <c r="J635" s="10">
        <v>1</v>
      </c>
      <c r="K635" s="10">
        <v>699</v>
      </c>
      <c r="L635">
        <v>699</v>
      </c>
      <c r="M635" s="10">
        <v>754</v>
      </c>
      <c r="N635">
        <f t="shared" si="11"/>
        <v>754</v>
      </c>
      <c r="P6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Row],[orderNum]],ТабПозиции[orderSumm])&gt;1500),ABS(N635*VLOOKUP(ТабПозиции[[#This Row],[orderNum]],ТабЗаказы[#Data],MATCH("Percent",ТабЗаказы[#Headers],0),0))/100,200/COUNTIF(ТабПозиции[orderNum],ТабПозиции[[#This Row],[orderNum]])),0),"")</f>
        <v>113</v>
      </c>
      <c r="Q635">
        <f>IF(OR(ТабПозиции[[#This Row],[item]]="По штрихкоду",ТабПозиции[[#This Row],[item]]="Посылка"),ТабПозиции[[#This Row],[deliverySumm]]+ТабПозиции[[#This Row],[deliveryPost]],SUM(N635:P635))</f>
        <v>867</v>
      </c>
      <c r="R635" s="41">
        <v>867</v>
      </c>
      <c r="S635" s="46">
        <f>ТабПозиции[[#This Row],[totalSumm]]-ТабПозиции[[#This Row],[payment]]</f>
        <v>0</v>
      </c>
      <c r="T635" s="18" t="s">
        <v>960</v>
      </c>
      <c r="U635" s="40" t="s">
        <v>545</v>
      </c>
      <c r="V635" s="40" t="s">
        <v>545</v>
      </c>
      <c r="W635" s="40" t="s">
        <v>545</v>
      </c>
      <c r="X635" s="3"/>
      <c r="Y635"/>
    </row>
    <row r="636" spans="1:25" hidden="1" x14ac:dyDescent="0.25">
      <c r="A636" s="10">
        <v>175</v>
      </c>
      <c r="B636" s="1">
        <f>IFERROR(VLOOKUP(ТабПозиции[[#This Row],[orderNum]],ТабЗаказы[#Data],MATCH(B$7,ТабЗаказы[#Headers],0),0),"")</f>
        <v>45485</v>
      </c>
      <c r="C636" t="str">
        <f>MONTH(ТабПозиции[[#This Row],[date]])&amp;"/"&amp;YEAR(ТабПозиции[[#This Row],[date]])</f>
        <v>7/2024</v>
      </c>
      <c r="D636" s="1" t="str">
        <f>IFERROR(VLOOKUP(ТабПозиции[[#This Row],[orderNum]],ТабЗаказы[#Data],MATCH(D$7,ТабЗаказы[#Headers],0),0),"")</f>
        <v/>
      </c>
      <c r="E636" s="1" t="str">
        <f>IFERROR(VLOOKUP(ТабПозиции[[#This Row],[orderNum]],ТабЗаказы[#Data],MATCH(E$7,ТабЗаказы[#Headers],0),0),"")</f>
        <v/>
      </c>
      <c r="F636" s="16" t="s">
        <v>1129</v>
      </c>
      <c r="G636" s="40" t="s">
        <v>545</v>
      </c>
      <c r="I636" s="18">
        <v>45489</v>
      </c>
      <c r="J636" s="10">
        <v>1</v>
      </c>
      <c r="K636" s="10">
        <v>139</v>
      </c>
      <c r="L636">
        <v>139</v>
      </c>
      <c r="M636" s="10">
        <v>142</v>
      </c>
      <c r="N636">
        <f t="shared" si="11"/>
        <v>142</v>
      </c>
      <c r="P6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Row],[orderNum]],ТабПозиции[orderSumm])&gt;1500),ABS(N636*VLOOKUP(ТабПозиции[[#This Row],[orderNum]],ТабЗаказы[#Data],MATCH("Percent",ТабЗаказы[#Headers],0),0))/100,200/COUNTIF(ТабПозиции[orderNum],ТабПозиции[[#This Row],[orderNum]])),0),"")</f>
        <v>21</v>
      </c>
      <c r="Q636">
        <f>IF(OR(ТабПозиции[[#This Row],[item]]="По штрихкоду",ТабПозиции[[#This Row],[item]]="Посылка"),ТабПозиции[[#This Row],[deliverySumm]]+ТабПозиции[[#This Row],[deliveryPost]],SUM(N636:P636))</f>
        <v>163</v>
      </c>
      <c r="R636" s="41">
        <v>163</v>
      </c>
      <c r="S636" s="46">
        <f>ТабПозиции[[#This Row],[totalSumm]]-ТабПозиции[[#This Row],[payment]]</f>
        <v>0</v>
      </c>
      <c r="T636" s="18" t="s">
        <v>960</v>
      </c>
      <c r="U636" s="40" t="s">
        <v>545</v>
      </c>
      <c r="V636" s="40" t="s">
        <v>545</v>
      </c>
      <c r="W636" s="40" t="s">
        <v>545</v>
      </c>
      <c r="X636" s="3"/>
      <c r="Y636"/>
    </row>
    <row r="637" spans="1:25" hidden="1" x14ac:dyDescent="0.25">
      <c r="A637" s="10">
        <v>172</v>
      </c>
      <c r="B637" s="1">
        <f>IFERROR(VLOOKUP(ТабПозиции[[#This Row],[orderNum]],ТабЗаказы[#Data],MATCH(B$7,ТабЗаказы[#Headers],0),0),"")</f>
        <v>45481</v>
      </c>
      <c r="C637" t="str">
        <f>MONTH(ТабПозиции[[#This Row],[date]])&amp;"/"&amp;YEAR(ТабПозиции[[#This Row],[date]])</f>
        <v>7/2024</v>
      </c>
      <c r="D637" s="1" t="str">
        <f>IFERROR(VLOOKUP(ТабПозиции[[#This Row],[orderNum]],ТабЗаказы[#Data],MATCH(D$7,ТабЗаказы[#Headers],0),0),"")</f>
        <v/>
      </c>
      <c r="E637" s="1" t="str">
        <f>IFERROR(VLOOKUP(ТабПозиции[[#This Row],[orderNum]],ТабЗаказы[#Data],MATCH(E$7,ТабЗаказы[#Headers],0),0),"")</f>
        <v/>
      </c>
      <c r="F637" s="16" t="s">
        <v>939</v>
      </c>
      <c r="G637" s="40" t="s">
        <v>545</v>
      </c>
      <c r="I637" s="18">
        <v>45488</v>
      </c>
      <c r="J637" s="10">
        <v>1</v>
      </c>
      <c r="K637" s="10">
        <v>221</v>
      </c>
      <c r="L637">
        <v>221</v>
      </c>
      <c r="M637" s="10">
        <v>231</v>
      </c>
      <c r="N637">
        <f t="shared" si="11"/>
        <v>231</v>
      </c>
      <c r="P6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Row],[orderNum]],ТабПозиции[orderSumm])&gt;1500),ABS(N637*VLOOKUP(ТабПозиции[[#This Row],[orderNum]],ТабЗаказы[#Data],MATCH("Percent",ТабЗаказы[#Headers],0),0))/100,200/COUNTIF(ТабПозиции[orderNum],ТабПозиции[[#This Row],[orderNum]])),0),"")</f>
        <v>35</v>
      </c>
      <c r="Q637">
        <f>IF(OR(ТабПозиции[[#This Row],[item]]="По штрихкоду",ТабПозиции[[#This Row],[item]]="Посылка"),ТабПозиции[[#This Row],[deliverySumm]]+ТабПозиции[[#This Row],[deliveryPost]],SUM(N637:P637))</f>
        <v>266</v>
      </c>
      <c r="R637" s="41">
        <v>266</v>
      </c>
      <c r="S637" s="46">
        <f>ТабПозиции[[#This Row],[totalSumm]]-ТабПозиции[[#This Row],[payment]]</f>
        <v>0</v>
      </c>
      <c r="T637" s="18" t="s">
        <v>970</v>
      </c>
      <c r="U637" s="40" t="s">
        <v>545</v>
      </c>
      <c r="V637" s="40" t="s">
        <v>545</v>
      </c>
      <c r="W637" s="40" t="s">
        <v>545</v>
      </c>
      <c r="X637" s="3"/>
      <c r="Y637"/>
    </row>
    <row r="638" spans="1:25" hidden="1" x14ac:dyDescent="0.25">
      <c r="A638" s="10">
        <v>176</v>
      </c>
      <c r="B638" s="1">
        <f>IFERROR(VLOOKUP(ТабПозиции[[#This Row],[orderNum]],ТабЗаказы[#Data],MATCH(B$7,ТабЗаказы[#Headers],0),0),"")</f>
        <v>45487</v>
      </c>
      <c r="C638" t="str">
        <f>MONTH(ТабПозиции[[#This Row],[date]])&amp;"/"&amp;YEAR(ТабПозиции[[#This Row],[date]])</f>
        <v>7/2024</v>
      </c>
      <c r="D638" s="1" t="str">
        <f>IFERROR(VLOOKUP(ТабПозиции[[#This Row],[orderNum]],ТабЗаказы[#Data],MATCH(D$7,ТабЗаказы[#Headers],0),0),"")</f>
        <v/>
      </c>
      <c r="E638" s="1" t="str">
        <f>IFERROR(VLOOKUP(ТабПозиции[[#This Row],[orderNum]],ТабЗаказы[#Data],MATCH(E$7,ТабЗаказы[#Headers],0),0),"")</f>
        <v/>
      </c>
      <c r="F638" s="16" t="s">
        <v>1130</v>
      </c>
      <c r="G638" s="40" t="s">
        <v>545</v>
      </c>
      <c r="I638" s="18">
        <v>45491</v>
      </c>
      <c r="J638" s="10">
        <v>1</v>
      </c>
      <c r="K638" s="10">
        <v>1238</v>
      </c>
      <c r="L638">
        <v>1238</v>
      </c>
      <c r="M638" s="10">
        <v>1290</v>
      </c>
      <c r="N638">
        <f t="shared" si="11"/>
        <v>1290</v>
      </c>
      <c r="P6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Row],[orderNum]],ТабПозиции[orderSumm])&gt;1500),ABS(N638*VLOOKUP(ТабПозиции[[#This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638">
        <f>IF(OR(ТабПозиции[[#This Row],[item]]="По штрихкоду",ТабПозиции[[#This Row],[item]]="Посылка"),ТабПозиции[[#This Row],[deliverySumm]]+ТабПозиции[[#This Row],[deliveryPost]],SUM(N638:P638))</f>
        <v>1490</v>
      </c>
      <c r="R638" s="41">
        <v>1490</v>
      </c>
      <c r="S638" s="46">
        <f>ТабПозиции[[#This Row],[totalSumm]]-ТабПозиции[[#This Row],[payment]]</f>
        <v>0</v>
      </c>
      <c r="T638" s="18" t="s">
        <v>970</v>
      </c>
      <c r="U638" s="40" t="s">
        <v>545</v>
      </c>
      <c r="V638" s="40" t="s">
        <v>545</v>
      </c>
      <c r="W638" s="40" t="s">
        <v>545</v>
      </c>
      <c r="X638" s="3"/>
      <c r="Y638"/>
    </row>
    <row r="639" spans="1:25" hidden="1" x14ac:dyDescent="0.25">
      <c r="A639" s="10">
        <v>177</v>
      </c>
      <c r="B639" s="1">
        <f>IFERROR(VLOOKUP(ТабПозиции[[#This Row],[orderNum]],ТабЗаказы[#Data],MATCH(B$7,ТабЗаказы[#Headers],0),0),"")</f>
        <v>45490</v>
      </c>
      <c r="C639" t="str">
        <f>MONTH(ТабПозиции[[#This Row],[date]])&amp;"/"&amp;YEAR(ТабПозиции[[#This Row],[date]])</f>
        <v>7/2024</v>
      </c>
      <c r="D639" s="1" t="str">
        <f>IFERROR(VLOOKUP(ТабПозиции[[#This Row],[orderNum]],ТабЗаказы[#Data],MATCH(D$7,ТабЗаказы[#Headers],0),0),"")</f>
        <v/>
      </c>
      <c r="E639" s="1" t="str">
        <f>IFERROR(VLOOKUP(ТабПозиции[[#This Row],[orderNum]],ТабЗаказы[#Data],MATCH(E$7,ТабЗаказы[#Headers],0),0),"")</f>
        <v/>
      </c>
      <c r="F639" s="16" t="s">
        <v>1131</v>
      </c>
      <c r="G639" s="40" t="s">
        <v>545</v>
      </c>
      <c r="I639" s="18">
        <v>45495</v>
      </c>
      <c r="J639" s="10">
        <v>1</v>
      </c>
      <c r="K639" s="10">
        <v>627</v>
      </c>
      <c r="L639">
        <v>627</v>
      </c>
      <c r="M639" s="10">
        <v>654</v>
      </c>
      <c r="N639">
        <f t="shared" si="11"/>
        <v>654</v>
      </c>
      <c r="P6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Row],[orderNum]],ТабПозиции[orderSumm])&gt;1500),ABS(N639*VLOOKUP(ТабПозиции[[#This Row],[orderNum]],ТабЗаказы[#Data],MATCH("Percent",ТабЗаказы[#Headers],0),0))/100,200/COUNTIF(ТабПозиции[orderNum],ТабПозиции[[#This Row],[orderNum]])),0),"")</f>
        <v>98</v>
      </c>
      <c r="Q639">
        <f>IF(OR(ТабПозиции[[#This Row],[item]]="По штрихкоду",ТабПозиции[[#This Row],[item]]="Посылка"),ТабПозиции[[#This Row],[deliverySumm]]+ТабПозиции[[#This Row],[deliveryPost]],SUM(N639:P639))</f>
        <v>752</v>
      </c>
      <c r="R639" s="41">
        <v>752</v>
      </c>
      <c r="S639" s="46">
        <f>ТабПозиции[[#This Row],[totalSumm]]-ТабПозиции[[#This Row],[payment]]</f>
        <v>0</v>
      </c>
      <c r="T639" s="18" t="s">
        <v>970</v>
      </c>
      <c r="U639" s="40" t="s">
        <v>545</v>
      </c>
      <c r="V639" s="40" t="s">
        <v>545</v>
      </c>
      <c r="W639" s="40" t="s">
        <v>545</v>
      </c>
      <c r="X639" s="3"/>
      <c r="Y639"/>
    </row>
    <row r="640" spans="1:25" hidden="1" x14ac:dyDescent="0.25">
      <c r="A640" s="10">
        <v>177</v>
      </c>
      <c r="B640" s="1">
        <f>IFERROR(VLOOKUP(ТабПозиции[[#This Row],[orderNum]],ТабЗаказы[#Data],MATCH(B$7,ТабЗаказы[#Headers],0),0),"")</f>
        <v>45490</v>
      </c>
      <c r="C640" t="str">
        <f>MONTH(ТабПозиции[[#This Row],[date]])&amp;"/"&amp;YEAR(ТабПозиции[[#This Row],[date]])</f>
        <v>7/2024</v>
      </c>
      <c r="D640" s="1" t="str">
        <f>IFERROR(VLOOKUP(ТабПозиции[[#This Row],[orderNum]],ТабЗаказы[#Data],MATCH(D$7,ТабЗаказы[#Headers],0),0),"")</f>
        <v/>
      </c>
      <c r="E640" s="1" t="str">
        <f>IFERROR(VLOOKUP(ТабПозиции[[#This Row],[orderNum]],ТабЗаказы[#Data],MATCH(E$7,ТабЗаказы[#Headers],0),0),"")</f>
        <v/>
      </c>
      <c r="F640" s="16" t="s">
        <v>1132</v>
      </c>
      <c r="G640" s="40" t="s">
        <v>545</v>
      </c>
      <c r="I640" s="18">
        <v>45492</v>
      </c>
      <c r="J640" s="10">
        <v>1</v>
      </c>
      <c r="K640" s="10">
        <v>451</v>
      </c>
      <c r="L640">
        <v>451</v>
      </c>
      <c r="M640" s="10">
        <v>470</v>
      </c>
      <c r="N640">
        <f t="shared" si="11"/>
        <v>470</v>
      </c>
      <c r="P6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Row],[orderNum]],ТабПозиции[orderSumm])&gt;1500),ABS(N640*VLOOKUP(ТабПозиции[[#This Row],[orderNum]],ТабЗаказы[#Data],MATCH("Percent",ТабЗаказы[#Headers],0),0))/100,200/COUNTIF(ТабПозиции[orderNum],ТабПозиции[[#This Row],[orderNum]])),0),"")</f>
        <v>71</v>
      </c>
      <c r="Q640">
        <f>IF(OR(ТабПозиции[[#This Row],[item]]="По штрихкоду",ТабПозиции[[#This Row],[item]]="Посылка"),ТабПозиции[[#This Row],[deliverySumm]]+ТабПозиции[[#This Row],[deliveryPost]],SUM(N640:P640))</f>
        <v>541</v>
      </c>
      <c r="R640" s="41">
        <v>541</v>
      </c>
      <c r="S640" s="46">
        <f>ТабПозиции[[#This Row],[totalSumm]]-ТабПозиции[[#This Row],[payment]]</f>
        <v>0</v>
      </c>
      <c r="T640" s="18" t="s">
        <v>970</v>
      </c>
      <c r="U640" s="40" t="s">
        <v>545</v>
      </c>
      <c r="V640" s="40" t="s">
        <v>545</v>
      </c>
      <c r="W640" s="40" t="s">
        <v>545</v>
      </c>
      <c r="X640" s="3"/>
      <c r="Y640"/>
    </row>
    <row r="641" spans="1:25" hidden="1" x14ac:dyDescent="0.25">
      <c r="A641" s="10">
        <v>177</v>
      </c>
      <c r="B641" s="1">
        <f>IFERROR(VLOOKUP(ТабПозиции[[#This Row],[orderNum]],ТабЗаказы[#Data],MATCH(B$7,ТабЗаказы[#Headers],0),0),"")</f>
        <v>45490</v>
      </c>
      <c r="C641" t="str">
        <f>MONTH(ТабПозиции[[#This Row],[date]])&amp;"/"&amp;YEAR(ТабПозиции[[#This Row],[date]])</f>
        <v>7/2024</v>
      </c>
      <c r="D641" s="1" t="str">
        <f>IFERROR(VLOOKUP(ТабПозиции[[#This Row],[orderNum]],ТабЗаказы[#Data],MATCH(D$7,ТабЗаказы[#Headers],0),0),"")</f>
        <v/>
      </c>
      <c r="E641" s="1" t="str">
        <f>IFERROR(VLOOKUP(ТабПозиции[[#This Row],[orderNum]],ТабЗаказы[#Data],MATCH(E$7,ТабЗаказы[#Headers],0),0),"")</f>
        <v/>
      </c>
      <c r="F641" s="16" t="s">
        <v>1133</v>
      </c>
      <c r="G641" s="40" t="s">
        <v>545</v>
      </c>
      <c r="I641" s="18">
        <v>45492</v>
      </c>
      <c r="J641" s="10">
        <v>1</v>
      </c>
      <c r="K641" s="10">
        <v>285</v>
      </c>
      <c r="L641">
        <v>285</v>
      </c>
      <c r="M641" s="10">
        <v>297</v>
      </c>
      <c r="N641">
        <f t="shared" si="11"/>
        <v>297</v>
      </c>
      <c r="P6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Row],[orderNum]],ТабПозиции[orderSumm])&gt;1500),ABS(N641*VLOOKUP(ТабПозиции[[#This Row],[orderNum]],ТабЗаказы[#Data],MATCH("Percent",ТабЗаказы[#Headers],0),0))/100,200/COUNTIF(ТабПозиции[orderNum],ТабПозиции[[#This Row],[orderNum]])),0),"")</f>
        <v>45</v>
      </c>
      <c r="Q641">
        <f>IF(OR(ТабПозиции[[#This Row],[item]]="По штрихкоду",ТабПозиции[[#This Row],[item]]="Посылка"),ТабПозиции[[#This Row],[deliverySumm]]+ТабПозиции[[#This Row],[deliveryPost]],SUM(N641:P641))</f>
        <v>342</v>
      </c>
      <c r="R641" s="41">
        <v>342</v>
      </c>
      <c r="S641" s="46">
        <f>ТабПозиции[[#This Row],[totalSumm]]-ТабПозиции[[#This Row],[payment]]</f>
        <v>0</v>
      </c>
      <c r="T641" s="18" t="s">
        <v>970</v>
      </c>
      <c r="U641" s="40" t="s">
        <v>545</v>
      </c>
      <c r="V641" s="40" t="s">
        <v>545</v>
      </c>
      <c r="W641" s="40" t="s">
        <v>545</v>
      </c>
      <c r="X641" s="3"/>
      <c r="Y641"/>
    </row>
    <row r="642" spans="1:25" hidden="1" x14ac:dyDescent="0.25">
      <c r="A642" s="10">
        <v>177</v>
      </c>
      <c r="B642" s="1">
        <f>IFERROR(VLOOKUP(ТабПозиции[[#This Row],[orderNum]],ТабЗаказы[#Data],MATCH(B$7,ТабЗаказы[#Headers],0),0),"")</f>
        <v>45490</v>
      </c>
      <c r="C642" t="str">
        <f>MONTH(ТабПозиции[[#This Row],[date]])&amp;"/"&amp;YEAR(ТабПозиции[[#This Row],[date]])</f>
        <v>7/2024</v>
      </c>
      <c r="D642" s="1" t="str">
        <f>IFERROR(VLOOKUP(ТабПозиции[[#This Row],[orderNum]],ТабЗаказы[#Data],MATCH(D$7,ТабЗаказы[#Headers],0),0),"")</f>
        <v/>
      </c>
      <c r="E642" s="1" t="str">
        <f>IFERROR(VLOOKUP(ТабПозиции[[#This Row],[orderNum]],ТабЗаказы[#Data],MATCH(E$7,ТабЗаказы[#Headers],0),0),"")</f>
        <v/>
      </c>
      <c r="F642" s="16" t="s">
        <v>1134</v>
      </c>
      <c r="G642" s="40" t="s">
        <v>545</v>
      </c>
      <c r="I642" s="18">
        <v>45492</v>
      </c>
      <c r="J642" s="10">
        <v>1</v>
      </c>
      <c r="K642" s="10">
        <v>381</v>
      </c>
      <c r="L642">
        <v>381</v>
      </c>
      <c r="M642" s="10">
        <v>397</v>
      </c>
      <c r="N642">
        <f t="shared" si="11"/>
        <v>397</v>
      </c>
      <c r="P6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Row],[orderNum]],ТабПозиции[orderSumm])&gt;1500),ABS(N642*VLOOKUP(ТабПозиции[[#This Row],[orderNum]],ТабЗаказы[#Data],MATCH("Percent",ТабЗаказы[#Headers],0),0))/100,200/COUNTIF(ТабПозиции[orderNum],ТабПозиции[[#This Row],[orderNum]])),0),"")</f>
        <v>60</v>
      </c>
      <c r="Q642">
        <f>IF(OR(ТабПозиции[[#This Row],[item]]="По штрихкоду",ТабПозиции[[#This Row],[item]]="Посылка"),ТабПозиции[[#This Row],[deliverySumm]]+ТабПозиции[[#This Row],[deliveryPost]],SUM(N642:P642))</f>
        <v>457</v>
      </c>
      <c r="R642" s="41">
        <v>457</v>
      </c>
      <c r="S642" s="46">
        <f>ТабПозиции[[#This Row],[totalSumm]]-ТабПозиции[[#This Row],[payment]]</f>
        <v>0</v>
      </c>
      <c r="T642" s="18" t="s">
        <v>970</v>
      </c>
      <c r="U642" s="40" t="s">
        <v>545</v>
      </c>
      <c r="V642" s="40" t="s">
        <v>545</v>
      </c>
      <c r="W642" s="40" t="s">
        <v>545</v>
      </c>
      <c r="X642" s="3"/>
      <c r="Y642"/>
    </row>
    <row r="643" spans="1:25" hidden="1" x14ac:dyDescent="0.25">
      <c r="A643" s="10">
        <v>178</v>
      </c>
      <c r="B643" s="1">
        <f>IFERROR(VLOOKUP(ТабПозиции[[#This Row],[orderNum]],ТабЗаказы[#Data],MATCH(B$7,ТабЗаказы[#Headers],0),0),"")</f>
        <v>45490</v>
      </c>
      <c r="C643" t="str">
        <f>MONTH(ТабПозиции[[#This Row],[date]])&amp;"/"&amp;YEAR(ТабПозиции[[#This Row],[date]])</f>
        <v>7/2024</v>
      </c>
      <c r="D643" s="1" t="str">
        <f>IFERROR(VLOOKUP(ТабПозиции[[#This Row],[orderNum]],ТабЗаказы[#Data],MATCH(D$7,ТабЗаказы[#Headers],0),0),"")</f>
        <v/>
      </c>
      <c r="E643" s="1" t="str">
        <f>IFERROR(VLOOKUP(ТабПозиции[[#This Row],[orderNum]],ТабЗаказы[#Data],MATCH(E$7,ТабЗаказы[#Headers],0),0),"")</f>
        <v/>
      </c>
      <c r="F643" s="16" t="s">
        <v>1135</v>
      </c>
      <c r="G643" s="40" t="s">
        <v>545</v>
      </c>
      <c r="I643" s="18">
        <v>45494</v>
      </c>
      <c r="J643" s="10">
        <v>1</v>
      </c>
      <c r="K643" s="10">
        <v>21360</v>
      </c>
      <c r="L643">
        <v>21360</v>
      </c>
      <c r="M643" s="10">
        <v>22251</v>
      </c>
      <c r="N643">
        <f t="shared" si="11"/>
        <v>22251</v>
      </c>
      <c r="P6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Row],[orderNum]],ТабПозиции[orderSumm])&gt;1500),ABS(N643*VLOOKUP(ТабПозиции[[#This Row],[orderNum]],ТабЗаказы[#Data],MATCH("Percent",ТабЗаказы[#Headers],0),0))/100,200/COUNTIF(ТабПозиции[orderNum],ТабПозиции[[#This Row],[orderNum]])),0),"")</f>
        <v>2225</v>
      </c>
      <c r="Q643">
        <f>IF(OR(ТабПозиции[[#This Row],[item]]="По штрихкоду",ТабПозиции[[#This Row],[item]]="Посылка"),ТабПозиции[[#This Row],[deliverySumm]]+ТабПозиции[[#This Row],[deliveryPost]],SUM(N643:P643))</f>
        <v>24476</v>
      </c>
      <c r="R643" s="41">
        <v>24476</v>
      </c>
      <c r="S643" s="46">
        <f>ТабПозиции[[#This Row],[totalSumm]]-ТабПозиции[[#This Row],[payment]]</f>
        <v>0</v>
      </c>
      <c r="T643" s="18" t="s">
        <v>970</v>
      </c>
      <c r="U643" s="40" t="s">
        <v>545</v>
      </c>
      <c r="V643" s="40" t="s">
        <v>545</v>
      </c>
      <c r="W643" s="40" t="s">
        <v>545</v>
      </c>
      <c r="X643" s="3"/>
      <c r="Y643"/>
    </row>
    <row r="644" spans="1:25" hidden="1" x14ac:dyDescent="0.25">
      <c r="A644" s="10">
        <v>179</v>
      </c>
      <c r="B644" s="1">
        <f>IFERROR(VLOOKUP(ТабПозиции[[#This Row],[orderNum]],ТабЗаказы[#Data],MATCH(B$7,ТабЗаказы[#Headers],0),0),"")</f>
        <v>45490</v>
      </c>
      <c r="C644" t="str">
        <f>MONTH(ТабПозиции[[#This Row],[date]])&amp;"/"&amp;YEAR(ТабПозиции[[#This Row],[date]])</f>
        <v>7/2024</v>
      </c>
      <c r="D644" s="1" t="str">
        <f>IFERROR(VLOOKUP(ТабПозиции[[#This Row],[orderNum]],ТабЗаказы[#Data],MATCH(D$7,ТабЗаказы[#Headers],0),0),"")</f>
        <v/>
      </c>
      <c r="E644" s="1" t="str">
        <f>IFERROR(VLOOKUP(ТабПозиции[[#This Row],[orderNum]],ТабЗаказы[#Data],MATCH(E$7,ТабЗаказы[#Headers],0),0),"")</f>
        <v/>
      </c>
      <c r="F644" s="16" t="s">
        <v>1136</v>
      </c>
      <c r="G644" s="40" t="s">
        <v>545</v>
      </c>
      <c r="I644" s="18">
        <v>45498</v>
      </c>
      <c r="J644" s="10">
        <v>1</v>
      </c>
      <c r="K644" s="10">
        <v>14500</v>
      </c>
      <c r="L644">
        <v>14500</v>
      </c>
      <c r="M644" s="10">
        <v>14500</v>
      </c>
      <c r="N644">
        <f t="shared" si="11"/>
        <v>14500</v>
      </c>
      <c r="O644" s="10">
        <f>2609+(2175-1450)</f>
        <v>3334</v>
      </c>
      <c r="P6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Row],[orderNum]],ТабПозиции[orderSumm])&gt;1500),ABS(N644*VLOOKUP(ТабПозиции[[#This Row],[orderNum]],ТабЗаказы[#Data],MATCH("Percent",ТабЗаказы[#Headers],0),0))/100,200/COUNTIF(ТабПозиции[orderNum],ТабПозиции[[#This Row],[orderNum]])),0),"")</f>
        <v>1450</v>
      </c>
      <c r="Q644">
        <f>IF(OR(ТабПозиции[[#This Row],[item]]="По штрихкоду",ТабПозиции[[#This Row],[item]]="Посылка"),ТабПозиции[[#This Row],[deliverySumm]]+ТабПозиции[[#This Row],[deliveryPost]],SUM(N644:P644))</f>
        <v>19284</v>
      </c>
      <c r="R644" s="41">
        <v>19284</v>
      </c>
      <c r="S644" s="46">
        <f>ТабПозиции[[#This Row],[totalSumm]]-ТабПозиции[[#This Row],[payment]]</f>
        <v>0</v>
      </c>
      <c r="T644" s="18" t="s">
        <v>1137</v>
      </c>
      <c r="U644" s="40" t="s">
        <v>545</v>
      </c>
      <c r="V644" s="40" t="s">
        <v>545</v>
      </c>
      <c r="W644" s="40" t="s">
        <v>545</v>
      </c>
      <c r="X644" s="3"/>
      <c r="Y644"/>
    </row>
    <row r="645" spans="1:25" hidden="1" x14ac:dyDescent="0.25">
      <c r="A645" s="10">
        <v>180</v>
      </c>
      <c r="B645" s="1">
        <f>IFERROR(VLOOKUP(ТабПозиции[[#This Row],[orderNum]],ТабЗаказы[#Data],MATCH(B$7,ТабЗаказы[#Headers],0),0),"")</f>
        <v>45491</v>
      </c>
      <c r="C645" t="str">
        <f>MONTH(ТабПозиции[[#This Row],[date]])&amp;"/"&amp;YEAR(ТабПозиции[[#This Row],[date]])</f>
        <v>7/2024</v>
      </c>
      <c r="D645" s="1" t="str">
        <f>IFERROR(VLOOKUP(ТабПозиции[[#This Row],[orderNum]],ТабЗаказы[#Data],MATCH(D$7,ТабЗаказы[#Headers],0),0),"")</f>
        <v/>
      </c>
      <c r="E645" s="1" t="str">
        <f>IFERROR(VLOOKUP(ТабПозиции[[#This Row],[orderNum]],ТабЗаказы[#Data],MATCH(E$7,ТабЗаказы[#Headers],0),0),"")</f>
        <v/>
      </c>
      <c r="F645" s="10" t="s">
        <v>32</v>
      </c>
      <c r="G645" s="40" t="s">
        <v>545</v>
      </c>
      <c r="I645" s="18">
        <v>45492</v>
      </c>
      <c r="J645" s="10">
        <v>1</v>
      </c>
      <c r="K645" s="10">
        <v>832</v>
      </c>
      <c r="L645">
        <v>832</v>
      </c>
      <c r="M645" s="10">
        <v>832</v>
      </c>
      <c r="N645">
        <f t="shared" si="11"/>
        <v>832</v>
      </c>
      <c r="P6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Row],[orderNum]],ТабПозиции[orderSumm])&gt;1500),ABS(N645*VLOOKUP(ТабПозиции[[#This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645">
        <f>IF(OR(ТабПозиции[[#This Row],[item]]="По штрихкоду",ТабПозиции[[#This Row],[item]]="Посылка"),ТабПозиции[[#This Row],[deliverySumm]]+ТабПозиции[[#This Row],[deliveryPost]],SUM(N645:P645))</f>
        <v>200</v>
      </c>
      <c r="R645" s="41">
        <v>200</v>
      </c>
      <c r="S645" s="46">
        <f>ТабПозиции[[#This Row],[totalSumm]]-ТабПозиции[[#This Row],[payment]]</f>
        <v>0</v>
      </c>
      <c r="T645" s="18" t="s">
        <v>960</v>
      </c>
      <c r="U645" s="40" t="s">
        <v>545</v>
      </c>
      <c r="V645" s="40" t="s">
        <v>545</v>
      </c>
      <c r="W645" s="40" t="s">
        <v>545</v>
      </c>
      <c r="X645" s="3"/>
      <c r="Y645"/>
    </row>
    <row r="646" spans="1:25" hidden="1" x14ac:dyDescent="0.25">
      <c r="A646" s="10">
        <v>181</v>
      </c>
      <c r="B646" s="1">
        <f>IFERROR(VLOOKUP(ТабПозиции[[#This Row],[orderNum]],ТабЗаказы[#Data],MATCH(B$7,ТабЗаказы[#Headers],0),0),"")</f>
        <v>45491</v>
      </c>
      <c r="C646" t="str">
        <f>MONTH(ТабПозиции[[#This Row],[date]])&amp;"/"&amp;YEAR(ТабПозиции[[#This Row],[date]])</f>
        <v>7/2024</v>
      </c>
      <c r="D646" s="1" t="str">
        <f>IFERROR(VLOOKUP(ТабПозиции[[#This Row],[orderNum]],ТабЗаказы[#Data],MATCH(D$7,ТабЗаказы[#Headers],0),0),"")</f>
        <v/>
      </c>
      <c r="E646" s="1" t="str">
        <f>IFERROR(VLOOKUP(ТабПозиции[[#This Row],[orderNum]],ТабЗаказы[#Data],MATCH(E$7,ТабЗаказы[#Headers],0),0),"")</f>
        <v/>
      </c>
      <c r="F646" s="16" t="s">
        <v>1138</v>
      </c>
      <c r="G646" s="40" t="s">
        <v>545</v>
      </c>
      <c r="I646" s="18">
        <v>45493</v>
      </c>
      <c r="J646" s="10">
        <v>1</v>
      </c>
      <c r="K646" s="10">
        <v>1513</v>
      </c>
      <c r="L646">
        <v>1513</v>
      </c>
      <c r="M646" s="10">
        <v>1577</v>
      </c>
      <c r="N646">
        <f t="shared" si="11"/>
        <v>1577</v>
      </c>
      <c r="P6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Row],[orderNum]],ТабПозиции[orderSumm])&gt;1500),ABS(N646*VLOOKUP(ТабПозиции[[#This Row],[orderNum]],ТабЗаказы[#Data],MATCH("Percent",ТабЗаказы[#Headers],0),0))/100,200/COUNTIF(ТабПозиции[orderNum],ТабПозиции[[#This Row],[orderNum]])),0),"")</f>
        <v>237</v>
      </c>
      <c r="Q646">
        <f>IF(OR(ТабПозиции[[#This Row],[item]]="По штрихкоду",ТабПозиции[[#This Row],[item]]="Посылка"),ТабПозиции[[#This Row],[deliverySumm]]+ТабПозиции[[#This Row],[deliveryPost]],SUM(N646:P646))</f>
        <v>1814</v>
      </c>
      <c r="R646" s="41">
        <v>1814</v>
      </c>
      <c r="S646" s="46">
        <f>ТабПозиции[[#This Row],[totalSumm]]-ТабПозиции[[#This Row],[payment]]</f>
        <v>0</v>
      </c>
      <c r="T646" s="18" t="s">
        <v>970</v>
      </c>
      <c r="U646" s="40" t="s">
        <v>545</v>
      </c>
      <c r="V646" s="40" t="s">
        <v>545</v>
      </c>
      <c r="W646" s="40" t="s">
        <v>545</v>
      </c>
      <c r="X646" s="3"/>
      <c r="Y646"/>
    </row>
    <row r="647" spans="1:25" hidden="1" x14ac:dyDescent="0.25">
      <c r="A647" s="10">
        <v>181</v>
      </c>
      <c r="B647" s="1">
        <f>IFERROR(VLOOKUP(ТабПозиции[[#This Row],[orderNum]],ТабЗаказы[#Data],MATCH(B$7,ТабЗаказы[#Headers],0),0),"")</f>
        <v>45491</v>
      </c>
      <c r="C647" t="str">
        <f>MONTH(ТабПозиции[[#This Row],[date]])&amp;"/"&amp;YEAR(ТабПозиции[[#This Row],[date]])</f>
        <v>7/2024</v>
      </c>
      <c r="D647" s="1" t="str">
        <f>IFERROR(VLOOKUP(ТабПозиции[[#This Row],[orderNum]],ТабЗаказы[#Data],MATCH(D$7,ТабЗаказы[#Headers],0),0),"")</f>
        <v/>
      </c>
      <c r="E647" s="1" t="str">
        <f>IFERROR(VLOOKUP(ТабПозиции[[#This Row],[orderNum]],ТабЗаказы[#Data],MATCH(E$7,ТабЗаказы[#Headers],0),0),"")</f>
        <v/>
      </c>
      <c r="F647" s="16" t="s">
        <v>1139</v>
      </c>
      <c r="G647" s="40" t="s">
        <v>545</v>
      </c>
      <c r="I647" s="18">
        <v>45493</v>
      </c>
      <c r="J647" s="10">
        <v>1</v>
      </c>
      <c r="K647" s="10">
        <v>549</v>
      </c>
      <c r="L647">
        <v>549</v>
      </c>
      <c r="M647" s="10">
        <v>572</v>
      </c>
      <c r="N647">
        <f t="shared" si="11"/>
        <v>572</v>
      </c>
      <c r="P6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Row],[orderNum]],ТабПозиции[orderSumm])&gt;1500),ABS(N647*VLOOKUP(ТабПозиции[[#This Row],[orderNum]],ТабЗаказы[#Data],MATCH("Percent",ТабЗаказы[#Headers],0),0))/100,200/COUNTIF(ТабПозиции[orderNum],ТабПозиции[[#This Row],[orderNum]])),0),"")</f>
        <v>86</v>
      </c>
      <c r="Q647">
        <f>IF(OR(ТабПозиции[[#This Row],[item]]="По штрихкоду",ТабПозиции[[#This Row],[item]]="Посылка"),ТабПозиции[[#This Row],[deliverySumm]]+ТабПозиции[[#This Row],[deliveryPost]],SUM(N647:P647))</f>
        <v>658</v>
      </c>
      <c r="R647" s="41">
        <v>658</v>
      </c>
      <c r="S647" s="46">
        <f>ТабПозиции[[#This Row],[totalSumm]]-ТабПозиции[[#This Row],[payment]]</f>
        <v>0</v>
      </c>
      <c r="T647" s="18" t="s">
        <v>970</v>
      </c>
      <c r="U647" s="40" t="s">
        <v>545</v>
      </c>
      <c r="V647" s="40" t="s">
        <v>545</v>
      </c>
      <c r="W647" s="40" t="s">
        <v>545</v>
      </c>
      <c r="X647" s="3"/>
      <c r="Y647"/>
    </row>
    <row r="648" spans="1:25" hidden="1" x14ac:dyDescent="0.25">
      <c r="A648" s="10">
        <v>181</v>
      </c>
      <c r="B648" s="1">
        <f>IFERROR(VLOOKUP(ТабПозиции[[#This Row],[orderNum]],ТабЗаказы[#Data],MATCH(B$7,ТабЗаказы[#Headers],0),0),"")</f>
        <v>45491</v>
      </c>
      <c r="C648" t="str">
        <f>MONTH(ТабПозиции[[#This Row],[date]])&amp;"/"&amp;YEAR(ТабПозиции[[#This Row],[date]])</f>
        <v>7/2024</v>
      </c>
      <c r="D648" s="1" t="str">
        <f>IFERROR(VLOOKUP(ТабПозиции[[#This Row],[orderNum]],ТабЗаказы[#Data],MATCH(D$7,ТабЗаказы[#Headers],0),0),"")</f>
        <v/>
      </c>
      <c r="E648" s="1" t="str">
        <f>IFERROR(VLOOKUP(ТабПозиции[[#This Row],[orderNum]],ТабЗаказы[#Data],MATCH(E$7,ТабЗаказы[#Headers],0),0),"")</f>
        <v/>
      </c>
      <c r="F648" s="16" t="s">
        <v>1140</v>
      </c>
      <c r="G648" s="40" t="s">
        <v>545</v>
      </c>
      <c r="I648" s="18">
        <v>45493</v>
      </c>
      <c r="J648" s="10">
        <v>1</v>
      </c>
      <c r="K648" s="10">
        <v>936</v>
      </c>
      <c r="L648">
        <v>936</v>
      </c>
      <c r="M648" s="10">
        <v>976</v>
      </c>
      <c r="N648">
        <f t="shared" si="11"/>
        <v>976</v>
      </c>
      <c r="P6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Row],[orderNum]],ТабПозиции[orderSumm])&gt;1500),ABS(N648*VLOOKUP(ТабПозиции[[#This Row],[orderNum]],ТабЗаказы[#Data],MATCH("Percent",ТабЗаказы[#Headers],0),0))/100,200/COUNTIF(ТабПозиции[orderNum],ТабПозиции[[#This Row],[orderNum]])),0),"")</f>
        <v>146</v>
      </c>
      <c r="Q648">
        <f>IF(OR(ТабПозиции[[#This Row],[item]]="По штрихкоду",ТабПозиции[[#This Row],[item]]="Посылка"),ТабПозиции[[#This Row],[deliverySumm]]+ТабПозиции[[#This Row],[deliveryPost]],SUM(N648:P648))</f>
        <v>1122</v>
      </c>
      <c r="R648" s="41">
        <v>1122</v>
      </c>
      <c r="S648" s="46">
        <f>ТабПозиции[[#This Row],[totalSumm]]-ТабПозиции[[#This Row],[payment]]</f>
        <v>0</v>
      </c>
      <c r="T648" s="18" t="s">
        <v>970</v>
      </c>
      <c r="U648" s="40" t="s">
        <v>545</v>
      </c>
      <c r="V648" s="40" t="s">
        <v>545</v>
      </c>
      <c r="W648" s="40" t="s">
        <v>545</v>
      </c>
      <c r="X648" s="3"/>
      <c r="Y648"/>
    </row>
    <row r="649" spans="1:25" hidden="1" x14ac:dyDescent="0.25">
      <c r="A649" s="10">
        <v>181</v>
      </c>
      <c r="B649" s="1">
        <f>IFERROR(VLOOKUP(ТабПозиции[[#This Row],[orderNum]],ТабЗаказы[#Data],MATCH(B$7,ТабЗаказы[#Headers],0),0),"")</f>
        <v>45491</v>
      </c>
      <c r="C649" t="str">
        <f>MONTH(ТабПозиции[[#This Row],[date]])&amp;"/"&amp;YEAR(ТабПозиции[[#This Row],[date]])</f>
        <v>7/2024</v>
      </c>
      <c r="D649" s="1" t="str">
        <f>IFERROR(VLOOKUP(ТабПозиции[[#This Row],[orderNum]],ТабЗаказы[#Data],MATCH(D$7,ТабЗаказы[#Headers],0),0),"")</f>
        <v/>
      </c>
      <c r="E649" s="1" t="str">
        <f>IFERROR(VLOOKUP(ТабПозиции[[#This Row],[orderNum]],ТабЗаказы[#Data],MATCH(E$7,ТабЗаказы[#Headers],0),0),"")</f>
        <v/>
      </c>
      <c r="F649" s="16" t="s">
        <v>1141</v>
      </c>
      <c r="G649" s="40" t="s">
        <v>545</v>
      </c>
      <c r="I649" s="18">
        <v>45493</v>
      </c>
      <c r="J649" s="10">
        <v>1</v>
      </c>
      <c r="K649" s="10">
        <v>357</v>
      </c>
      <c r="L649">
        <v>357</v>
      </c>
      <c r="M649" s="10">
        <v>372</v>
      </c>
      <c r="N649">
        <f t="shared" si="11"/>
        <v>372</v>
      </c>
      <c r="P6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Row],[orderNum]],ТабПозиции[orderSumm])&gt;1500),ABS(N649*VLOOKUP(ТабПозиции[[#This Row],[orderNum]],ТабЗаказы[#Data],MATCH("Percent",ТабЗаказы[#Headers],0),0))/100,200/COUNTIF(ТабПозиции[orderNum],ТабПозиции[[#This Row],[orderNum]])),0),"")</f>
        <v>56</v>
      </c>
      <c r="Q649">
        <f>IF(OR(ТабПозиции[[#This Row],[item]]="По штрихкоду",ТабПозиции[[#This Row],[item]]="Посылка"),ТабПозиции[[#This Row],[deliverySumm]]+ТабПозиции[[#This Row],[deliveryPost]],SUM(N649:P649))</f>
        <v>428</v>
      </c>
      <c r="R649" s="41">
        <v>428</v>
      </c>
      <c r="S649" s="46">
        <f>ТабПозиции[[#This Row],[totalSumm]]-ТабПозиции[[#This Row],[payment]]</f>
        <v>0</v>
      </c>
      <c r="T649" s="18" t="s">
        <v>970</v>
      </c>
      <c r="U649" s="40" t="s">
        <v>545</v>
      </c>
      <c r="V649" s="40" t="s">
        <v>545</v>
      </c>
      <c r="W649" s="40" t="s">
        <v>545</v>
      </c>
      <c r="X649" s="3"/>
      <c r="Y649"/>
    </row>
    <row r="650" spans="1:25" hidden="1" x14ac:dyDescent="0.25">
      <c r="A650" s="10">
        <v>181</v>
      </c>
      <c r="B650" s="1">
        <f>IFERROR(VLOOKUP(ТабПозиции[[#This Row],[orderNum]],ТабЗаказы[#Data],MATCH(B$7,ТабЗаказы[#Headers],0),0),"")</f>
        <v>45491</v>
      </c>
      <c r="C650" t="str">
        <f>MONTH(ТабПозиции[[#This Row],[date]])&amp;"/"&amp;YEAR(ТабПозиции[[#This Row],[date]])</f>
        <v>7/2024</v>
      </c>
      <c r="D650" s="1" t="str">
        <f>IFERROR(VLOOKUP(ТабПозиции[[#This Row],[orderNum]],ТабЗаказы[#Data],MATCH(D$7,ТабЗаказы[#Headers],0),0),"")</f>
        <v/>
      </c>
      <c r="E650" s="1" t="str">
        <f>IFERROR(VLOOKUP(ТабПозиции[[#This Row],[orderNum]],ТабЗаказы[#Data],MATCH(E$7,ТабЗаказы[#Headers],0),0),"")</f>
        <v/>
      </c>
      <c r="F650" s="16" t="s">
        <v>1142</v>
      </c>
      <c r="G650" s="40" t="s">
        <v>545</v>
      </c>
      <c r="I650" s="18">
        <v>45493</v>
      </c>
      <c r="J650" s="10">
        <v>1</v>
      </c>
      <c r="K650" s="10">
        <v>605</v>
      </c>
      <c r="L650">
        <v>605</v>
      </c>
      <c r="M650" s="10">
        <v>631</v>
      </c>
      <c r="N650">
        <f t="shared" si="11"/>
        <v>631</v>
      </c>
      <c r="P6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Row],[orderNum]],ТабПозиции[orderSumm])&gt;1500),ABS(N650*VLOOKUP(ТабПозиции[[#This Row],[orderNum]],ТабЗаказы[#Data],MATCH("Percent",ТабЗаказы[#Headers],0),0))/100,200/COUNTIF(ТабПозиции[orderNum],ТабПозиции[[#This Row],[orderNum]])),0),"")</f>
        <v>95</v>
      </c>
      <c r="Q650">
        <f>IF(OR(ТабПозиции[[#This Row],[item]]="По штрихкоду",ТабПозиции[[#This Row],[item]]="Посылка"),ТабПозиции[[#This Row],[deliverySumm]]+ТабПозиции[[#This Row],[deliveryPost]],SUM(N650:P650))</f>
        <v>726</v>
      </c>
      <c r="R650" s="41">
        <v>726</v>
      </c>
      <c r="S650" s="46">
        <f>ТабПозиции[[#This Row],[totalSumm]]-ТабПозиции[[#This Row],[payment]]</f>
        <v>0</v>
      </c>
      <c r="T650" s="18" t="s">
        <v>970</v>
      </c>
      <c r="U650" s="40" t="s">
        <v>545</v>
      </c>
      <c r="V650" s="40" t="s">
        <v>545</v>
      </c>
      <c r="W650" s="40" t="s">
        <v>545</v>
      </c>
      <c r="X650" s="3"/>
      <c r="Y650"/>
    </row>
    <row r="651" spans="1:25" hidden="1" x14ac:dyDescent="0.25">
      <c r="A651" s="10">
        <v>182</v>
      </c>
      <c r="B651" s="1">
        <f>IFERROR(VLOOKUP(ТабПозиции[[#This Row],[orderNum]],ТабЗаказы[#Data],MATCH(B$7,ТабЗаказы[#Headers],0),0),"")</f>
        <v>45491</v>
      </c>
      <c r="C651" t="str">
        <f>MONTH(ТабПозиции[[#This Row],[date]])&amp;"/"&amp;YEAR(ТабПозиции[[#This Row],[date]])</f>
        <v>7/2024</v>
      </c>
      <c r="D651" s="1" t="str">
        <f>IFERROR(VLOOKUP(ТабПозиции[[#This Row],[orderNum]],ТабЗаказы[#Data],MATCH(D$7,ТабЗаказы[#Headers],0),0),"")</f>
        <v/>
      </c>
      <c r="E651" s="1" t="str">
        <f>IFERROR(VLOOKUP(ТабПозиции[[#This Row],[orderNum]],ТабЗаказы[#Data],MATCH(E$7,ТабЗаказы[#Headers],0),0),"")</f>
        <v/>
      </c>
      <c r="F651" s="16" t="s">
        <v>1143</v>
      </c>
      <c r="G651" s="40" t="s">
        <v>545</v>
      </c>
      <c r="I651" s="18">
        <v>45495</v>
      </c>
      <c r="J651" s="10">
        <v>1</v>
      </c>
      <c r="K651" s="10">
        <v>3085</v>
      </c>
      <c r="L651">
        <v>3085</v>
      </c>
      <c r="M651" s="10">
        <v>3181</v>
      </c>
      <c r="N651">
        <f t="shared" si="11"/>
        <v>3181</v>
      </c>
      <c r="P6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Row],[orderNum]],ТабПозиции[orderSumm])&gt;1500),ABS(N651*VLOOKUP(ТабПозиции[[#This Row],[orderNum]],ТабЗаказы[#Data],MATCH("Percent",ТабЗаказы[#Headers],0),0))/100,200/COUNTIF(ТабПозиции[orderNum],ТабПозиции[[#This Row],[orderNum]])),0),"")</f>
        <v>477</v>
      </c>
      <c r="Q651">
        <f>IF(OR(ТабПозиции[[#This Row],[item]]="По штрихкоду",ТабПозиции[[#This Row],[item]]="Посылка"),ТабПозиции[[#This Row],[deliverySumm]]+ТабПозиции[[#This Row],[deliveryPost]],SUM(N651:P651))</f>
        <v>3658</v>
      </c>
      <c r="R651" s="41">
        <v>3658</v>
      </c>
      <c r="S651" s="46">
        <f>ТабПозиции[[#This Row],[totalSumm]]-ТабПозиции[[#This Row],[payment]]</f>
        <v>0</v>
      </c>
      <c r="T651" s="18" t="s">
        <v>960</v>
      </c>
      <c r="U651" s="40" t="s">
        <v>545</v>
      </c>
      <c r="V651" s="40" t="s">
        <v>545</v>
      </c>
      <c r="W651" s="40" t="s">
        <v>545</v>
      </c>
      <c r="X651" s="3"/>
      <c r="Y651"/>
    </row>
    <row r="652" spans="1:25" hidden="1" x14ac:dyDescent="0.25">
      <c r="A652" s="10">
        <v>182</v>
      </c>
      <c r="B652" s="1">
        <f>IFERROR(VLOOKUP(ТабПозиции[[#This Row],[orderNum]],ТабЗаказы[#Data],MATCH(B$7,ТабЗаказы[#Headers],0),0),"")</f>
        <v>45491</v>
      </c>
      <c r="C652" t="str">
        <f>MONTH(ТабПозиции[[#This Row],[date]])&amp;"/"&amp;YEAR(ТабПозиции[[#This Row],[date]])</f>
        <v>7/2024</v>
      </c>
      <c r="D652" s="1" t="str">
        <f>IFERROR(VLOOKUP(ТабПозиции[[#This Row],[orderNum]],ТабЗаказы[#Data],MATCH(D$7,ТабЗаказы[#Headers],0),0),"")</f>
        <v/>
      </c>
      <c r="E652" s="1" t="str">
        <f>IFERROR(VLOOKUP(ТабПозиции[[#This Row],[orderNum]],ТабЗаказы[#Data],MATCH(E$7,ТабЗаказы[#Headers],0),0),"")</f>
        <v/>
      </c>
      <c r="F652" s="16" t="s">
        <v>1144</v>
      </c>
      <c r="G652" s="40" t="s">
        <v>545</v>
      </c>
      <c r="I652" s="18">
        <v>45494</v>
      </c>
      <c r="J652" s="10">
        <v>1</v>
      </c>
      <c r="K652" s="10">
        <v>389</v>
      </c>
      <c r="L652">
        <v>389</v>
      </c>
      <c r="M652" s="10">
        <v>406</v>
      </c>
      <c r="N652">
        <f t="shared" si="11"/>
        <v>406</v>
      </c>
      <c r="P6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Row],[orderNum]],ТабПозиции[orderSumm])&gt;1500),ABS(N652*VLOOKUP(ТабПозиции[[#This Row],[orderNum]],ТабЗаказы[#Data],MATCH("Percent",ТабЗаказы[#Headers],0),0))/100,200/COUNTIF(ТабПозиции[orderNum],ТабПозиции[[#This Row],[orderNum]])),0),"")</f>
        <v>61</v>
      </c>
      <c r="Q652">
        <f>IF(OR(ТабПозиции[[#This Row],[item]]="По штрихкоду",ТабПозиции[[#This Row],[item]]="Посылка"),ТабПозиции[[#This Row],[deliverySumm]]+ТабПозиции[[#This Row],[deliveryPost]],SUM(N652:P652))</f>
        <v>467</v>
      </c>
      <c r="R652" s="41">
        <v>467</v>
      </c>
      <c r="S652" s="46">
        <f>ТабПозиции[[#This Row],[totalSumm]]-ТабПозиции[[#This Row],[payment]]</f>
        <v>0</v>
      </c>
      <c r="T652" s="18" t="s">
        <v>970</v>
      </c>
      <c r="U652" s="40" t="s">
        <v>545</v>
      </c>
      <c r="V652" s="40" t="s">
        <v>545</v>
      </c>
      <c r="W652" s="40" t="s">
        <v>545</v>
      </c>
      <c r="X652" s="3"/>
      <c r="Y652"/>
    </row>
    <row r="653" spans="1:25" hidden="1" x14ac:dyDescent="0.25">
      <c r="A653" s="10">
        <v>182</v>
      </c>
      <c r="B653" s="1">
        <f>IFERROR(VLOOKUP(ТабПозиции[[#This Row],[orderNum]],ТабЗаказы[#Data],MATCH(B$7,ТабЗаказы[#Headers],0),0),"")</f>
        <v>45491</v>
      </c>
      <c r="C653" t="str">
        <f>MONTH(ТабПозиции[[#This Row],[date]])&amp;"/"&amp;YEAR(ТабПозиции[[#This Row],[date]])</f>
        <v>7/2024</v>
      </c>
      <c r="D653" s="1" t="str">
        <f>IFERROR(VLOOKUP(ТабПозиции[[#This Row],[orderNum]],ТабЗаказы[#Data],MATCH(D$7,ТабЗаказы[#Headers],0),0),"")</f>
        <v/>
      </c>
      <c r="E653" s="1" t="str">
        <f>IFERROR(VLOOKUP(ТабПозиции[[#This Row],[orderNum]],ТабЗаказы[#Data],MATCH(E$7,ТабЗаказы[#Headers],0),0),"")</f>
        <v/>
      </c>
      <c r="F653" s="16" t="s">
        <v>1145</v>
      </c>
      <c r="G653" s="40" t="s">
        <v>545</v>
      </c>
      <c r="I653" s="18">
        <v>45493</v>
      </c>
      <c r="J653" s="10">
        <v>1</v>
      </c>
      <c r="K653" s="10">
        <v>1214</v>
      </c>
      <c r="L653">
        <v>1214</v>
      </c>
      <c r="M653" s="10">
        <v>1265</v>
      </c>
      <c r="N653">
        <f t="shared" si="11"/>
        <v>1265</v>
      </c>
      <c r="P6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Row],[orderNum]],ТабПозиции[orderSumm])&gt;1500),ABS(N653*VLOOKUP(ТабПозиции[[#This Row],[orderNum]],ТабЗаказы[#Data],MATCH("Percent",ТабЗаказы[#Headers],0),0))/100,200/COUNTIF(ТабПозиции[orderNum],ТабПозиции[[#This Row],[orderNum]])),0),"")</f>
        <v>190</v>
      </c>
      <c r="Q653">
        <f>IF(OR(ТабПозиции[[#This Row],[item]]="По штрихкоду",ТабПозиции[[#This Row],[item]]="Посылка"),ТабПозиции[[#This Row],[deliverySumm]]+ТабПозиции[[#This Row],[deliveryPost]],SUM(N653:P653))</f>
        <v>1455</v>
      </c>
      <c r="R653" s="41">
        <v>1455</v>
      </c>
      <c r="S653" s="46">
        <f>ТабПозиции[[#This Row],[totalSumm]]-ТабПозиции[[#This Row],[payment]]</f>
        <v>0</v>
      </c>
      <c r="T653" s="18" t="s">
        <v>970</v>
      </c>
      <c r="U653" s="40" t="s">
        <v>545</v>
      </c>
      <c r="V653" s="40" t="s">
        <v>545</v>
      </c>
      <c r="W653" s="40" t="s">
        <v>545</v>
      </c>
      <c r="X653" s="3"/>
      <c r="Y653"/>
    </row>
    <row r="654" spans="1:25" hidden="1" x14ac:dyDescent="0.25">
      <c r="A654" s="10">
        <v>182</v>
      </c>
      <c r="B654" s="1">
        <f>IFERROR(VLOOKUP(ТабПозиции[[#This Row],[orderNum]],ТабЗаказы[#Data],MATCH(B$7,ТабЗаказы[#Headers],0),0),"")</f>
        <v>45491</v>
      </c>
      <c r="C654" t="str">
        <f>MONTH(ТабПозиции[[#This Row],[date]])&amp;"/"&amp;YEAR(ТабПозиции[[#This Row],[date]])</f>
        <v>7/2024</v>
      </c>
      <c r="D654" s="1" t="str">
        <f>IFERROR(VLOOKUP(ТабПозиции[[#This Row],[orderNum]],ТабЗаказы[#Data],MATCH(D$7,ТабЗаказы[#Headers],0),0),"")</f>
        <v/>
      </c>
      <c r="E654" s="1" t="str">
        <f>IFERROR(VLOOKUP(ТабПозиции[[#This Row],[orderNum]],ТабЗаказы[#Data],MATCH(E$7,ТабЗаказы[#Headers],0),0),"")</f>
        <v/>
      </c>
      <c r="F654" s="16" t="s">
        <v>1146</v>
      </c>
      <c r="G654" s="40" t="s">
        <v>545</v>
      </c>
      <c r="I654" s="18">
        <v>45493</v>
      </c>
      <c r="J654" s="10">
        <v>1</v>
      </c>
      <c r="K654" s="10">
        <v>599</v>
      </c>
      <c r="L654">
        <v>599</v>
      </c>
      <c r="M654" s="10">
        <v>624</v>
      </c>
      <c r="N654">
        <f t="shared" si="11"/>
        <v>624</v>
      </c>
      <c r="P6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Row],[orderNum]],ТабПозиции[orderSumm])&gt;1500),ABS(N654*VLOOKUP(ТабПозиции[[#This Row],[orderNum]],ТабЗаказы[#Data],MATCH("Percent",ТабЗаказы[#Headers],0),0))/100,200/COUNTIF(ТабПозиции[orderNum],ТабПозиции[[#This Row],[orderNum]])),0),"")</f>
        <v>94</v>
      </c>
      <c r="Q654">
        <f>IF(OR(ТабПозиции[[#This Row],[item]]="По штрихкоду",ТабПозиции[[#This Row],[item]]="Посылка"),ТабПозиции[[#This Row],[deliverySumm]]+ТабПозиции[[#This Row],[deliveryPost]],SUM(N654:P654))</f>
        <v>718</v>
      </c>
      <c r="R654" s="41">
        <v>718</v>
      </c>
      <c r="S654" s="46">
        <f>ТабПозиции[[#This Row],[totalSumm]]-ТабПозиции[[#This Row],[payment]]</f>
        <v>0</v>
      </c>
      <c r="T654" s="18" t="s">
        <v>970</v>
      </c>
      <c r="U654" s="40" t="s">
        <v>545</v>
      </c>
      <c r="V654" s="40" t="s">
        <v>545</v>
      </c>
      <c r="W654" s="40" t="s">
        <v>545</v>
      </c>
      <c r="X654" s="3"/>
      <c r="Y654"/>
    </row>
    <row r="655" spans="1:25" hidden="1" x14ac:dyDescent="0.25">
      <c r="A655" s="10">
        <v>183</v>
      </c>
      <c r="B655" s="1">
        <f>IFERROR(VLOOKUP(ТабПозиции[[#This Row],[orderNum]],ТабЗаказы[#Data],MATCH(B$7,ТабЗаказы[#Headers],0),0),"")</f>
        <v>45492</v>
      </c>
      <c r="C655" t="str">
        <f>MONTH(ТабПозиции[[#This Row],[date]])&amp;"/"&amp;YEAR(ТабПозиции[[#This Row],[date]])</f>
        <v>7/2024</v>
      </c>
      <c r="D655" s="1" t="str">
        <f>IFERROR(VLOOKUP(ТабПозиции[[#This Row],[orderNum]],ТабЗаказы[#Data],MATCH(D$7,ТабЗаказы[#Headers],0),0),"")</f>
        <v/>
      </c>
      <c r="E655" s="1" t="str">
        <f>IFERROR(VLOOKUP(ТабПозиции[[#This Row],[orderNum]],ТабЗаказы[#Data],MATCH(E$7,ТабЗаказы[#Headers],0),0),"")</f>
        <v/>
      </c>
      <c r="F655" s="10" t="s">
        <v>32</v>
      </c>
      <c r="G655" s="40" t="s">
        <v>545</v>
      </c>
      <c r="I655" s="18">
        <v>45492</v>
      </c>
      <c r="J655" s="10">
        <v>1</v>
      </c>
      <c r="K655" s="10">
        <v>13787</v>
      </c>
      <c r="L655">
        <v>13787</v>
      </c>
      <c r="M655" s="10">
        <v>13787</v>
      </c>
      <c r="N655">
        <f t="shared" si="11"/>
        <v>13787</v>
      </c>
      <c r="O655" s="10">
        <v>200</v>
      </c>
      <c r="P6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Row],[orderNum]],ТабПозиции[orderSumm])&gt;1500),ABS(N655*VLOOKUP(ТабПозиции[[#This Row],[orderNum]],ТабЗаказы[#Data],MATCH("Percent",ТабЗаказы[#Headers],0),0))/100,200/COUNTIF(ТабПозиции[orderNum],ТабПозиции[[#This Row],[orderNum]])),0),"")</f>
        <v>1379</v>
      </c>
      <c r="Q655">
        <f>IF(OR(ТабПозиции[[#This Row],[item]]="По штрихкоду",ТабПозиции[[#This Row],[item]]="Посылка"),ТабПозиции[[#This Row],[deliverySumm]]+ТабПозиции[[#This Row],[deliveryPost]],SUM(N655:P655))</f>
        <v>1579</v>
      </c>
      <c r="R655" s="41">
        <v>1579</v>
      </c>
      <c r="S655" s="46">
        <f>ТабПозиции[[#This Row],[totalSumm]]-ТабПозиции[[#This Row],[payment]]</f>
        <v>0</v>
      </c>
      <c r="T655" s="18" t="s">
        <v>970</v>
      </c>
      <c r="U655" s="40" t="s">
        <v>545</v>
      </c>
      <c r="V655" s="40" t="s">
        <v>545</v>
      </c>
      <c r="W655" s="40" t="s">
        <v>545</v>
      </c>
      <c r="X655" s="3"/>
      <c r="Y655"/>
    </row>
    <row r="656" spans="1:25" hidden="1" x14ac:dyDescent="0.25">
      <c r="A656" s="10">
        <v>184</v>
      </c>
      <c r="B656" s="1">
        <f>IFERROR(VLOOKUP(ТабПозиции[[#This Row],[orderNum]],ТабЗаказы[#Data],MATCH(B$7,ТабЗаказы[#Headers],0),0),"")</f>
        <v>45492</v>
      </c>
      <c r="C656" t="str">
        <f>MONTH(ТабПозиции[[#This Row],[date]])&amp;"/"&amp;YEAR(ТабПозиции[[#This Row],[date]])</f>
        <v>7/2024</v>
      </c>
      <c r="D656" s="1" t="str">
        <f>IFERROR(VLOOKUP(ТабПозиции[[#This Row],[orderNum]],ТабЗаказы[#Data],MATCH(D$7,ТабЗаказы[#Headers],0),0),"")</f>
        <v/>
      </c>
      <c r="E656" s="1" t="str">
        <f>IFERROR(VLOOKUP(ТабПозиции[[#This Row],[orderNum]],ТабЗаказы[#Data],MATCH(E$7,ТабЗаказы[#Headers],0),0),"")</f>
        <v/>
      </c>
      <c r="F656" s="16" t="s">
        <v>1147</v>
      </c>
      <c r="G656" s="40" t="s">
        <v>545</v>
      </c>
      <c r="I656" s="18">
        <v>45496</v>
      </c>
      <c r="J656" s="10">
        <v>1</v>
      </c>
      <c r="K656" s="10">
        <v>1425</v>
      </c>
      <c r="L656">
        <v>1425</v>
      </c>
      <c r="M656" s="10">
        <v>1524</v>
      </c>
      <c r="N656">
        <f t="shared" si="11"/>
        <v>1524</v>
      </c>
      <c r="P6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Row],[orderNum]],ТабПозиции[orderSumm])&gt;1500),ABS(N656*VLOOKUP(ТабПозиции[[#This Row],[orderNum]],ТабЗаказы[#Data],MATCH("Percent",ТабЗаказы[#Headers],0),0))/100,200/COUNTIF(ТабПозиции[orderNum],ТабПозиции[[#This Row],[orderNum]])),0),"")</f>
        <v>229</v>
      </c>
      <c r="Q656">
        <f>IF(OR(ТабПозиции[[#This Row],[item]]="По штрихкоду",ТабПозиции[[#This Row],[item]]="Посылка"),ТабПозиции[[#This Row],[deliverySumm]]+ТабПозиции[[#This Row],[deliveryPost]],SUM(N656:P656))</f>
        <v>1753</v>
      </c>
      <c r="R656" s="41">
        <v>1753</v>
      </c>
      <c r="S656" s="46">
        <f>ТабПозиции[[#This Row],[totalSumm]]-ТабПозиции[[#This Row],[payment]]</f>
        <v>0</v>
      </c>
      <c r="T656" s="18" t="s">
        <v>960</v>
      </c>
      <c r="U656" s="40" t="s">
        <v>545</v>
      </c>
      <c r="V656" s="40" t="s">
        <v>545</v>
      </c>
      <c r="W656" s="40" t="s">
        <v>545</v>
      </c>
      <c r="X656" s="3"/>
      <c r="Y656"/>
    </row>
    <row r="657" spans="1:25" hidden="1" x14ac:dyDescent="0.25">
      <c r="A657" s="10">
        <v>184</v>
      </c>
      <c r="B657" s="1">
        <f>IFERROR(VLOOKUP(ТабПозиции[[#This Row],[orderNum]],ТабЗаказы[#Data],MATCH(B$7,ТабЗаказы[#Headers],0),0),"")</f>
        <v>45492</v>
      </c>
      <c r="C657" t="str">
        <f>MONTH(ТабПозиции[[#This Row],[date]])&amp;"/"&amp;YEAR(ТабПозиции[[#This Row],[date]])</f>
        <v>7/2024</v>
      </c>
      <c r="D657" s="1" t="str">
        <f>IFERROR(VLOOKUP(ТабПозиции[[#This Row],[orderNum]],ТабЗаказы[#Data],MATCH(D$7,ТабЗаказы[#Headers],0),0),"")</f>
        <v/>
      </c>
      <c r="E657" s="1" t="str">
        <f>IFERROR(VLOOKUP(ТабПозиции[[#This Row],[orderNum]],ТабЗаказы[#Data],MATCH(E$7,ТабЗаказы[#Headers],0),0),"")</f>
        <v/>
      </c>
      <c r="F657" s="16" t="s">
        <v>579</v>
      </c>
      <c r="G657" s="40" t="s">
        <v>545</v>
      </c>
      <c r="I657" s="18">
        <v>45494</v>
      </c>
      <c r="J657" s="10">
        <v>1</v>
      </c>
      <c r="K657" s="10">
        <v>467</v>
      </c>
      <c r="L657">
        <v>467</v>
      </c>
      <c r="M657" s="10">
        <v>501</v>
      </c>
      <c r="N657">
        <f t="shared" si="11"/>
        <v>501</v>
      </c>
      <c r="P6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Row],[orderNum]],ТабПозиции[orderSumm])&gt;1500),ABS(N657*VLOOKUP(ТабПозиции[[#This Row],[orderNum]],ТабЗаказы[#Data],MATCH("Percent",ТабЗаказы[#Headers],0),0))/100,200/COUNTIF(ТабПозиции[orderNum],ТабПозиции[[#This Row],[orderNum]])),0),"")</f>
        <v>75</v>
      </c>
      <c r="Q657">
        <f>IF(OR(ТабПозиции[[#This Row],[item]]="По штрихкоду",ТабПозиции[[#This Row],[item]]="Посылка"),ТабПозиции[[#This Row],[deliverySumm]]+ТабПозиции[[#This Row],[deliveryPost]],SUM(N657:P657))</f>
        <v>576</v>
      </c>
      <c r="R657" s="41">
        <v>576</v>
      </c>
      <c r="S657" s="46">
        <f>ТабПозиции[[#This Row],[totalSumm]]-ТабПозиции[[#This Row],[payment]]</f>
        <v>0</v>
      </c>
      <c r="T657" s="18" t="s">
        <v>960</v>
      </c>
      <c r="U657" s="40" t="s">
        <v>545</v>
      </c>
      <c r="V657" s="40" t="s">
        <v>545</v>
      </c>
      <c r="W657" s="40" t="s">
        <v>545</v>
      </c>
      <c r="X657" s="3"/>
      <c r="Y657"/>
    </row>
    <row r="658" spans="1:25" hidden="1" x14ac:dyDescent="0.25">
      <c r="A658" s="10">
        <v>184</v>
      </c>
      <c r="B658" s="1">
        <f>IFERROR(VLOOKUP(ТабПозиции[[#This Row],[orderNum]],ТабЗаказы[#Data],MATCH(B$7,ТабЗаказы[#Headers],0),0),"")</f>
        <v>45492</v>
      </c>
      <c r="C658" t="str">
        <f>MONTH(ТабПозиции[[#This Row],[date]])&amp;"/"&amp;YEAR(ТабПозиции[[#This Row],[date]])</f>
        <v>7/2024</v>
      </c>
      <c r="D658" s="1" t="str">
        <f>IFERROR(VLOOKUP(ТабПозиции[[#This Row],[orderNum]],ТабЗаказы[#Data],MATCH(D$7,ТабЗаказы[#Headers],0),0),"")</f>
        <v/>
      </c>
      <c r="E658" s="1" t="str">
        <f>IFERROR(VLOOKUP(ТабПозиции[[#This Row],[orderNum]],ТабЗаказы[#Data],MATCH(E$7,ТабЗаказы[#Headers],0),0),"")</f>
        <v/>
      </c>
      <c r="F658" s="16" t="s">
        <v>1148</v>
      </c>
      <c r="G658" s="40" t="s">
        <v>545</v>
      </c>
      <c r="I658" s="18">
        <v>45498</v>
      </c>
      <c r="J658" s="10">
        <v>1</v>
      </c>
      <c r="K658" s="10">
        <v>455</v>
      </c>
      <c r="L658">
        <v>455</v>
      </c>
      <c r="M658" s="10">
        <v>491</v>
      </c>
      <c r="N658">
        <f t="shared" si="11"/>
        <v>491</v>
      </c>
      <c r="P6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Row],[orderNum]],ТабПозиции[orderSumm])&gt;1500),ABS(N658*VLOOKUP(ТабПозиции[[#This Row],[orderNum]],ТабЗаказы[#Data],MATCH("Percent",ТабЗаказы[#Headers],0),0))/100,200/COUNTIF(ТабПозиции[orderNum],ТабПозиции[[#This Row],[orderNum]])),0),"")</f>
        <v>74</v>
      </c>
      <c r="Q658">
        <f>IF(OR(ТабПозиции[[#This Row],[item]]="По штрихкоду",ТабПозиции[[#This Row],[item]]="Посылка"),ТабПозиции[[#This Row],[deliverySumm]]+ТабПозиции[[#This Row],[deliveryPost]],SUM(N658:P658))</f>
        <v>565</v>
      </c>
      <c r="R658" s="41">
        <v>565</v>
      </c>
      <c r="S658" s="46">
        <f>ТабПозиции[[#This Row],[totalSumm]]-ТабПозиции[[#This Row],[payment]]</f>
        <v>0</v>
      </c>
      <c r="T658" s="18" t="s">
        <v>960</v>
      </c>
      <c r="U658" s="40" t="s">
        <v>545</v>
      </c>
      <c r="V658" s="40" t="s">
        <v>545</v>
      </c>
      <c r="W658" s="40" t="s">
        <v>545</v>
      </c>
      <c r="X658" s="3"/>
      <c r="Y658"/>
    </row>
    <row r="659" spans="1:25" hidden="1" x14ac:dyDescent="0.25">
      <c r="A659" s="10">
        <v>184</v>
      </c>
      <c r="B659" s="1">
        <f>IFERROR(VLOOKUP(ТабПозиции[[#This Row],[orderNum]],ТабЗаказы[#Data],MATCH(B$7,ТабЗаказы[#Headers],0),0),"")</f>
        <v>45492</v>
      </c>
      <c r="C659" t="str">
        <f>MONTH(ТабПозиции[[#This Row],[date]])&amp;"/"&amp;YEAR(ТабПозиции[[#This Row],[date]])</f>
        <v>7/2024</v>
      </c>
      <c r="D659" s="1" t="str">
        <f>IFERROR(VLOOKUP(ТабПозиции[[#This Row],[orderNum]],ТабЗаказы[#Data],MATCH(D$7,ТабЗаказы[#Headers],0),0),"")</f>
        <v/>
      </c>
      <c r="E659" s="1" t="str">
        <f>IFERROR(VLOOKUP(ТабПозиции[[#This Row],[orderNum]],ТабЗаказы[#Data],MATCH(E$7,ТабЗаказы[#Headers],0),0),"")</f>
        <v/>
      </c>
      <c r="F659" s="16" t="s">
        <v>1149</v>
      </c>
      <c r="G659" s="40" t="s">
        <v>545</v>
      </c>
      <c r="I659" s="18">
        <v>45494</v>
      </c>
      <c r="J659" s="10">
        <v>1</v>
      </c>
      <c r="K659" s="10">
        <v>638</v>
      </c>
      <c r="L659">
        <v>638</v>
      </c>
      <c r="M659" s="10">
        <v>675</v>
      </c>
      <c r="N659">
        <f t="shared" si="11"/>
        <v>675</v>
      </c>
      <c r="P6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Row],[orderNum]],ТабПозиции[orderSumm])&gt;1500),ABS(N659*VLOOKUP(ТабПозиции[[#This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659">
        <f>IF(OR(ТабПозиции[[#This Row],[item]]="По штрихкоду",ТабПозиции[[#This Row],[item]]="Посылка"),ТабПозиции[[#This Row],[deliverySumm]]+ТабПозиции[[#This Row],[deliveryPost]],SUM(N659:P659))</f>
        <v>776</v>
      </c>
      <c r="R659" s="41">
        <v>776</v>
      </c>
      <c r="S659" s="46">
        <f>ТабПозиции[[#This Row],[totalSumm]]-ТабПозиции[[#This Row],[payment]]</f>
        <v>0</v>
      </c>
      <c r="T659" s="18" t="s">
        <v>960</v>
      </c>
      <c r="U659" s="40" t="s">
        <v>545</v>
      </c>
      <c r="V659" s="40" t="s">
        <v>545</v>
      </c>
      <c r="W659" s="40" t="s">
        <v>545</v>
      </c>
      <c r="X659" s="3"/>
      <c r="Y659"/>
    </row>
    <row r="660" spans="1:25" hidden="1" x14ac:dyDescent="0.25">
      <c r="A660" s="10">
        <v>184</v>
      </c>
      <c r="B660" s="1">
        <f>IFERROR(VLOOKUP(ТабПозиции[[#This Row],[orderNum]],ТабЗаказы[#Data],MATCH(B$7,ТабЗаказы[#Headers],0),0),"")</f>
        <v>45492</v>
      </c>
      <c r="C660" t="str">
        <f>MONTH(ТабПозиции[[#This Row],[date]])&amp;"/"&amp;YEAR(ТабПозиции[[#This Row],[date]])</f>
        <v>7/2024</v>
      </c>
      <c r="D660" s="1" t="str">
        <f>IFERROR(VLOOKUP(ТабПозиции[[#This Row],[orderNum]],ТабЗаказы[#Data],MATCH(D$7,ТабЗаказы[#Headers],0),0),"")</f>
        <v/>
      </c>
      <c r="E660" s="1" t="str">
        <f>IFERROR(VLOOKUP(ТабПозиции[[#This Row],[orderNum]],ТабЗаказы[#Data],MATCH(E$7,ТабЗаказы[#Headers],0),0),"")</f>
        <v/>
      </c>
      <c r="F660" s="16" t="s">
        <v>1150</v>
      </c>
      <c r="G660" s="40" t="s">
        <v>545</v>
      </c>
      <c r="I660" s="18">
        <v>45494</v>
      </c>
      <c r="J660" s="10">
        <v>1</v>
      </c>
      <c r="K660" s="10">
        <v>619</v>
      </c>
      <c r="L660">
        <v>619</v>
      </c>
      <c r="M660" s="10">
        <v>652</v>
      </c>
      <c r="N660">
        <f t="shared" si="11"/>
        <v>652</v>
      </c>
      <c r="P6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Row],[orderNum]],ТабПозиции[orderSumm])&gt;1500),ABS(N660*VLOOKUP(ТабПозиции[[#This Row],[orderNum]],ТабЗаказы[#Data],MATCH("Percent",ТабЗаказы[#Headers],0),0))/100,200/COUNTIF(ТабПозиции[orderNum],ТабПозиции[[#This Row],[orderNum]])),0),"")</f>
        <v>98</v>
      </c>
      <c r="Q660">
        <f>IF(OR(ТабПозиции[[#This Row],[item]]="По штрихкоду",ТабПозиции[[#This Row],[item]]="Посылка"),ТабПозиции[[#This Row],[deliverySumm]]+ТабПозиции[[#This Row],[deliveryPost]],SUM(N660:P660))</f>
        <v>750</v>
      </c>
      <c r="R660" s="41">
        <v>750</v>
      </c>
      <c r="S660" s="46">
        <f>ТабПозиции[[#This Row],[totalSumm]]-ТабПозиции[[#This Row],[payment]]</f>
        <v>0</v>
      </c>
      <c r="T660" s="18" t="s">
        <v>970</v>
      </c>
      <c r="U660" s="40" t="s">
        <v>545</v>
      </c>
      <c r="V660" s="40" t="s">
        <v>545</v>
      </c>
      <c r="W660" s="40" t="s">
        <v>545</v>
      </c>
      <c r="X660" s="3"/>
      <c r="Y660"/>
    </row>
    <row r="661" spans="1:25" hidden="1" x14ac:dyDescent="0.25">
      <c r="A661" s="10">
        <v>184</v>
      </c>
      <c r="B661" s="1">
        <f>IFERROR(VLOOKUP(ТабПозиции[[#This Row],[orderNum]],ТабЗаказы[#Data],MATCH(B$7,ТабЗаказы[#Headers],0),0),"")</f>
        <v>45492</v>
      </c>
      <c r="C661" t="str">
        <f>MONTH(ТабПозиции[[#This Row],[date]])&amp;"/"&amp;YEAR(ТабПозиции[[#This Row],[date]])</f>
        <v>7/2024</v>
      </c>
      <c r="D661" s="1" t="str">
        <f>IFERROR(VLOOKUP(ТабПозиции[[#This Row],[orderNum]],ТабЗаказы[#Data],MATCH(D$7,ТабЗаказы[#Headers],0),0),"")</f>
        <v/>
      </c>
      <c r="E661" s="1" t="str">
        <f>IFERROR(VLOOKUP(ТабПозиции[[#This Row],[orderNum]],ТабЗаказы[#Data],MATCH(E$7,ТабЗаказы[#Headers],0),0),"")</f>
        <v/>
      </c>
      <c r="F661" s="16" t="s">
        <v>1151</v>
      </c>
      <c r="G661" s="40" t="s">
        <v>545</v>
      </c>
      <c r="I661" s="18">
        <v>45494</v>
      </c>
      <c r="J661" s="10">
        <v>1</v>
      </c>
      <c r="K661" s="10">
        <v>183</v>
      </c>
      <c r="L661">
        <v>183</v>
      </c>
      <c r="M661" s="10">
        <v>193</v>
      </c>
      <c r="N661">
        <f t="shared" si="11"/>
        <v>193</v>
      </c>
      <c r="P6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Row],[orderNum]],ТабПозиции[orderSumm])&gt;1500),ABS(N661*VLOOKUP(ТабПозиции[[#This Row],[orderNum]],ТабЗаказы[#Data],MATCH("Percent",ТабЗаказы[#Headers],0),0))/100,200/COUNTIF(ТабПозиции[orderNum],ТабПозиции[[#This Row],[orderNum]])),0),"")</f>
        <v>29</v>
      </c>
      <c r="Q661">
        <f>IF(OR(ТабПозиции[[#This Row],[item]]="По штрихкоду",ТабПозиции[[#This Row],[item]]="Посылка"),ТабПозиции[[#This Row],[deliverySumm]]+ТабПозиции[[#This Row],[deliveryPost]],SUM(N661:P661))</f>
        <v>222</v>
      </c>
      <c r="R661" s="41">
        <v>222</v>
      </c>
      <c r="S661" s="46">
        <f>ТабПозиции[[#This Row],[totalSumm]]-ТабПозиции[[#This Row],[payment]]</f>
        <v>0</v>
      </c>
      <c r="T661" s="18" t="s">
        <v>970</v>
      </c>
      <c r="U661" s="40" t="s">
        <v>545</v>
      </c>
      <c r="V661" s="40" t="s">
        <v>545</v>
      </c>
      <c r="W661" s="40" t="s">
        <v>545</v>
      </c>
      <c r="X661" s="3"/>
      <c r="Y661"/>
    </row>
    <row r="662" spans="1:25" hidden="1" x14ac:dyDescent="0.25">
      <c r="A662" s="10">
        <v>184</v>
      </c>
      <c r="B662" s="1">
        <f>IFERROR(VLOOKUP(ТабПозиции[[#This Row],[orderNum]],ТабЗаказы[#Data],MATCH(B$7,ТабЗаказы[#Headers],0),0),"")</f>
        <v>45492</v>
      </c>
      <c r="C662" t="str">
        <f>MONTH(ТабПозиции[[#This Row],[date]])&amp;"/"&amp;YEAR(ТабПозиции[[#This Row],[date]])</f>
        <v>7/2024</v>
      </c>
      <c r="D662" s="1" t="str">
        <f>IFERROR(VLOOKUP(ТабПозиции[[#This Row],[orderNum]],ТабЗаказы[#Data],MATCH(D$7,ТабЗаказы[#Headers],0),0),"")</f>
        <v/>
      </c>
      <c r="E662" s="1" t="str">
        <f>IFERROR(VLOOKUP(ТабПозиции[[#This Row],[orderNum]],ТабЗаказы[#Data],MATCH(E$7,ТабЗаказы[#Headers],0),0),"")</f>
        <v/>
      </c>
      <c r="F662" s="16" t="s">
        <v>1104</v>
      </c>
      <c r="G662" s="40" t="s">
        <v>545</v>
      </c>
      <c r="I662" s="18">
        <v>45496</v>
      </c>
      <c r="J662" s="10">
        <v>1</v>
      </c>
      <c r="K662" s="10">
        <v>289</v>
      </c>
      <c r="L662">
        <v>289</v>
      </c>
      <c r="M662" s="10">
        <v>305</v>
      </c>
      <c r="N662">
        <f t="shared" si="11"/>
        <v>305</v>
      </c>
      <c r="P6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Row],[orderNum]],ТабПозиции[orderSumm])&gt;1500),ABS(N662*VLOOKUP(ТабПозиции[[#This Row],[orderNum]],ТабЗаказы[#Data],MATCH("Percent",ТабЗаказы[#Headers],0),0))/100,200/COUNTIF(ТабПозиции[orderNum],ТабПозиции[[#This Row],[orderNum]])),0),"")</f>
        <v>46</v>
      </c>
      <c r="Q662">
        <f>IF(OR(ТабПозиции[[#This Row],[item]]="По штрихкоду",ТабПозиции[[#This Row],[item]]="Посылка"),ТабПозиции[[#This Row],[deliverySumm]]+ТабПозиции[[#This Row],[deliveryPost]],SUM(N662:P662))</f>
        <v>351</v>
      </c>
      <c r="R662" s="41">
        <v>351</v>
      </c>
      <c r="S662" s="46">
        <f>ТабПозиции[[#This Row],[totalSumm]]-ТабПозиции[[#This Row],[payment]]</f>
        <v>0</v>
      </c>
      <c r="T662" s="18" t="s">
        <v>970</v>
      </c>
      <c r="U662" s="40" t="s">
        <v>545</v>
      </c>
      <c r="V662" s="40" t="s">
        <v>545</v>
      </c>
      <c r="W662" s="40" t="s">
        <v>545</v>
      </c>
      <c r="X662" s="3"/>
      <c r="Y662"/>
    </row>
    <row r="663" spans="1:25" hidden="1" x14ac:dyDescent="0.25">
      <c r="A663" s="10">
        <v>185</v>
      </c>
      <c r="B663" s="1">
        <f>IFERROR(VLOOKUP(ТабПозиции[[#This Row],[orderNum]],ТабЗаказы[#Data],MATCH(B$7,ТабЗаказы[#Headers],0),0),"")</f>
        <v>45494</v>
      </c>
      <c r="C663" t="str">
        <f>MONTH(ТабПозиции[[#This Row],[date]])&amp;"/"&amp;YEAR(ТабПозиции[[#This Row],[date]])</f>
        <v>7/2024</v>
      </c>
      <c r="D663" s="1" t="str">
        <f>IFERROR(VLOOKUP(ТабПозиции[[#This Row],[orderNum]],ТабЗаказы[#Data],MATCH(D$7,ТабЗаказы[#Headers],0),0),"")</f>
        <v/>
      </c>
      <c r="E663" s="1" t="str">
        <f>IFERROR(VLOOKUP(ТабПозиции[[#This Row],[orderNum]],ТабЗаказы[#Data],MATCH(E$7,ТабЗаказы[#Headers],0),0),"")</f>
        <v/>
      </c>
      <c r="F663" s="16" t="s">
        <v>1152</v>
      </c>
      <c r="G663" s="40" t="s">
        <v>545</v>
      </c>
      <c r="I663" s="18">
        <v>45494</v>
      </c>
      <c r="J663" s="10">
        <v>1</v>
      </c>
      <c r="K663" s="10">
        <v>10900</v>
      </c>
      <c r="L663">
        <v>10900</v>
      </c>
      <c r="M663" s="10">
        <v>10900</v>
      </c>
      <c r="N663">
        <f t="shared" si="11"/>
        <v>10900</v>
      </c>
      <c r="O663" s="10">
        <v>579</v>
      </c>
      <c r="P6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Row],[orderNum]],ТабПозиции[orderSumm])&gt;1500),ABS(N663*VLOOKUP(ТабПозиции[[#This Row],[orderNum]],ТабЗаказы[#Data],MATCH("Percent",ТабЗаказы[#Headers],0),0))/100,200/COUNTIF(ТабПозиции[orderNum],ТабПозиции[[#This Row],[orderNum]])),0),"")</f>
        <v>1090</v>
      </c>
      <c r="Q663">
        <f>IF(OR(ТабПозиции[[#This Row],[item]]="По штрихкоду",ТабПозиции[[#This Row],[item]]="Посылка"),ТабПозиции[[#This Row],[deliverySumm]]+ТабПозиции[[#This Row],[deliveryPost]],SUM(N663:P663))</f>
        <v>12569</v>
      </c>
      <c r="R663" s="41">
        <v>12569</v>
      </c>
      <c r="S663" s="46">
        <f>ТабПозиции[[#This Row],[totalSumm]]-ТабПозиции[[#This Row],[payment]]</f>
        <v>0</v>
      </c>
      <c r="T663" s="18" t="s">
        <v>1021</v>
      </c>
      <c r="U663" s="40" t="s">
        <v>545</v>
      </c>
      <c r="V663" s="40" t="str">
        <f>IF(AND(ТабПозиции[[#This Row],[Остаток]]=0,ТабПозиции[[#This Row],[Заказан]]="Да"),"Да","Нет")</f>
        <v>Да</v>
      </c>
      <c r="W663" s="40" t="s">
        <v>545</v>
      </c>
      <c r="X663" s="3"/>
      <c r="Y663"/>
    </row>
    <row r="664" spans="1:25" hidden="1" x14ac:dyDescent="0.25">
      <c r="A664" s="10">
        <v>186</v>
      </c>
      <c r="B664" s="1">
        <f>IFERROR(VLOOKUP(ТабПозиции[[#This Row],[orderNum]],ТабЗаказы[#Data],MATCH(B$7,ТабЗаказы[#Headers],0),0),"")</f>
        <v>45497</v>
      </c>
      <c r="C664" t="str">
        <f>MONTH(ТабПозиции[[#This Row],[date]])&amp;"/"&amp;YEAR(ТабПозиции[[#This Row],[date]])</f>
        <v>7/2024</v>
      </c>
      <c r="D664" s="1" t="str">
        <f>IFERROR(VLOOKUP(ТабПозиции[[#This Row],[orderNum]],ТабЗаказы[#Data],MATCH(D$7,ТабЗаказы[#Headers],0),0),"")</f>
        <v/>
      </c>
      <c r="E664" s="1" t="str">
        <f>IFERROR(VLOOKUP(ТабПозиции[[#This Row],[orderNum]],ТабЗаказы[#Data],MATCH(E$7,ТабЗаказы[#Headers],0),0),"")</f>
        <v/>
      </c>
      <c r="F664" s="21" t="s">
        <v>1153</v>
      </c>
      <c r="G664" s="40" t="s">
        <v>545</v>
      </c>
      <c r="I664" s="18">
        <v>45498</v>
      </c>
      <c r="J664" s="10">
        <v>1</v>
      </c>
      <c r="K664" s="10">
        <v>1414</v>
      </c>
      <c r="L664">
        <v>1414</v>
      </c>
      <c r="M664" s="10">
        <v>1489</v>
      </c>
      <c r="N664">
        <f t="shared" si="11"/>
        <v>1489</v>
      </c>
      <c r="P6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Row],[orderNum]],ТабПозиции[orderSumm])&gt;1500),ABS(N664*VLOOKUP(ТабПозиции[[#This Row],[orderNum]],ТабЗаказы[#Data],MATCH("Percent",ТабЗаказы[#Headers],0),0))/100,200/COUNTIF(ТабПозиции[orderNum],ТабПозиции[[#This Row],[orderNum]])),0),"")</f>
        <v>223</v>
      </c>
      <c r="Q664">
        <f>IF(OR(ТабПозиции[[#This Row],[item]]="По штрихкоду",ТабПозиции[[#This Row],[item]]="Посылка"),ТабПозиции[[#This Row],[deliverySumm]]+ТабПозиции[[#This Row],[deliveryPost]],SUM(N664:P664))</f>
        <v>1712</v>
      </c>
      <c r="R664" s="41">
        <v>1712</v>
      </c>
      <c r="S664" s="46">
        <f>ТабПозиции[[#This Row],[totalSumm]]-ТабПозиции[[#This Row],[payment]]</f>
        <v>0</v>
      </c>
      <c r="T664" s="18" t="s">
        <v>970</v>
      </c>
      <c r="U664" s="40" t="s">
        <v>545</v>
      </c>
      <c r="V664" s="40" t="s">
        <v>545</v>
      </c>
      <c r="W664" s="40" t="s">
        <v>545</v>
      </c>
      <c r="X664" s="3"/>
      <c r="Y664"/>
    </row>
    <row r="665" spans="1:25" hidden="1" x14ac:dyDescent="0.25">
      <c r="A665" s="10">
        <v>186</v>
      </c>
      <c r="B665" s="1">
        <f>IFERROR(VLOOKUP(ТабПозиции[[#This Row],[orderNum]],ТабЗаказы[#Data],MATCH(B$7,ТабЗаказы[#Headers],0),0),"")</f>
        <v>45497</v>
      </c>
      <c r="C665" t="str">
        <f>MONTH(ТабПозиции[[#This Row],[date]])&amp;"/"&amp;YEAR(ТабПозиции[[#This Row],[date]])</f>
        <v>7/2024</v>
      </c>
      <c r="D665" s="1" t="str">
        <f>IFERROR(VLOOKUP(ТабПозиции[[#This Row],[orderNum]],ТабЗаказы[#Data],MATCH(D$7,ТабЗаказы[#Headers],0),0),"")</f>
        <v/>
      </c>
      <c r="E665" s="1" t="str">
        <f>IFERROR(VLOOKUP(ТабПозиции[[#This Row],[orderNum]],ТабЗаказы[#Data],MATCH(E$7,ТабЗаказы[#Headers],0),0),"")</f>
        <v/>
      </c>
      <c r="F665" s="16" t="s">
        <v>1154</v>
      </c>
      <c r="G665" s="40" t="s">
        <v>545</v>
      </c>
      <c r="I665" s="18">
        <v>45499</v>
      </c>
      <c r="J665" s="10">
        <v>1</v>
      </c>
      <c r="K665" s="10">
        <v>477</v>
      </c>
      <c r="L665">
        <v>477</v>
      </c>
      <c r="M665" s="10">
        <v>503</v>
      </c>
      <c r="N665">
        <f t="shared" si="11"/>
        <v>503</v>
      </c>
      <c r="P6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Row],[orderNum]],ТабПозиции[orderSumm])&gt;1500),ABS(N665*VLOOKUP(ТабПозиции[[#This Row],[orderNum]],ТабЗаказы[#Data],MATCH("Percent",ТабЗаказы[#Headers],0),0))/100,200/COUNTIF(ТабПозиции[orderNum],ТабПозиции[[#This Row],[orderNum]])),0),"")</f>
        <v>75</v>
      </c>
      <c r="Q665">
        <f>IF(OR(ТабПозиции[[#This Row],[item]]="По штрихкоду",ТабПозиции[[#This Row],[item]]="Посылка"),ТабПозиции[[#This Row],[deliverySumm]]+ТабПозиции[[#This Row],[deliveryPost]],SUM(N665:P665))</f>
        <v>578</v>
      </c>
      <c r="R665" s="41">
        <v>578</v>
      </c>
      <c r="S665" s="46">
        <f>ТабПозиции[[#This Row],[totalSumm]]-ТабПозиции[[#This Row],[payment]]</f>
        <v>0</v>
      </c>
      <c r="T665" s="18" t="s">
        <v>970</v>
      </c>
      <c r="U665" s="40" t="s">
        <v>545</v>
      </c>
      <c r="V665" s="40" t="s">
        <v>545</v>
      </c>
      <c r="W665" s="40" t="s">
        <v>545</v>
      </c>
      <c r="X665" s="3"/>
      <c r="Y665"/>
    </row>
    <row r="666" spans="1:25" hidden="1" x14ac:dyDescent="0.25">
      <c r="A666" s="10">
        <v>186</v>
      </c>
      <c r="B666" s="1">
        <f>IFERROR(VLOOKUP(ТабПозиции[[#This Row],[orderNum]],ТабЗаказы[#Data],MATCH(B$7,ТабЗаказы[#Headers],0),0),"")</f>
        <v>45497</v>
      </c>
      <c r="C666" t="str">
        <f>MONTH(ТабПозиции[[#This Row],[date]])&amp;"/"&amp;YEAR(ТабПозиции[[#This Row],[date]])</f>
        <v>7/2024</v>
      </c>
      <c r="D666" s="1" t="str">
        <f>IFERROR(VLOOKUP(ТабПозиции[[#This Row],[orderNum]],ТабЗаказы[#Data],MATCH(D$7,ТабЗаказы[#Headers],0),0),"")</f>
        <v/>
      </c>
      <c r="E666" s="1" t="str">
        <f>IFERROR(VLOOKUP(ТабПозиции[[#This Row],[orderNum]],ТабЗаказы[#Data],MATCH(E$7,ТабЗаказы[#Headers],0),0),"")</f>
        <v/>
      </c>
      <c r="F666" s="16" t="s">
        <v>1155</v>
      </c>
      <c r="G666" s="40" t="s">
        <v>545</v>
      </c>
      <c r="I666" s="18">
        <v>45501</v>
      </c>
      <c r="J666" s="10">
        <v>1</v>
      </c>
      <c r="K666" s="10">
        <v>1386</v>
      </c>
      <c r="L666">
        <v>1386</v>
      </c>
      <c r="M666" s="10">
        <v>1459</v>
      </c>
      <c r="N666">
        <f t="shared" si="11"/>
        <v>1459</v>
      </c>
      <c r="P6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Row],[orderNum]],ТабПозиции[orderSumm])&gt;1500),ABS(N666*VLOOKUP(ТабПозиции[[#This Row],[orderNum]],ТабЗаказы[#Data],MATCH("Percent",ТабЗаказы[#Headers],0),0))/100,200/COUNTIF(ТабПозиции[orderNum],ТабПозиции[[#This Row],[orderNum]])),0),"")</f>
        <v>219</v>
      </c>
      <c r="Q666">
        <f>IF(OR(ТабПозиции[[#This Row],[item]]="По штрихкоду",ТабПозиции[[#This Row],[item]]="Посылка"),ТабПозиции[[#This Row],[deliverySumm]]+ТабПозиции[[#This Row],[deliveryPost]],SUM(N666:P666))</f>
        <v>1678</v>
      </c>
      <c r="R666" s="41">
        <v>1678</v>
      </c>
      <c r="S666" s="46">
        <f>ТабПозиции[[#This Row],[totalSumm]]-ТабПозиции[[#This Row],[payment]]</f>
        <v>0</v>
      </c>
      <c r="T666" s="18" t="s">
        <v>970</v>
      </c>
      <c r="U666" s="40" t="s">
        <v>545</v>
      </c>
      <c r="V666" s="40" t="s">
        <v>545</v>
      </c>
      <c r="W666" s="40" t="s">
        <v>545</v>
      </c>
      <c r="X666" s="3"/>
      <c r="Y666"/>
    </row>
    <row r="667" spans="1:25" hidden="1" x14ac:dyDescent="0.25">
      <c r="A667" s="10">
        <v>186</v>
      </c>
      <c r="B667" s="1">
        <f>IFERROR(VLOOKUP(ТабПозиции[[#This Row],[orderNum]],ТабЗаказы[#Data],MATCH(B$7,ТабЗаказы[#Headers],0),0),"")</f>
        <v>45497</v>
      </c>
      <c r="C667" t="str">
        <f>MONTH(ТабПозиции[[#This Row],[date]])&amp;"/"&amp;YEAR(ТабПозиции[[#This Row],[date]])</f>
        <v>7/2024</v>
      </c>
      <c r="D667" s="1" t="str">
        <f>IFERROR(VLOOKUP(ТабПозиции[[#This Row],[orderNum]],ТабЗаказы[#Data],MATCH(D$7,ТабЗаказы[#Headers],0),0),"")</f>
        <v/>
      </c>
      <c r="E667" s="1" t="str">
        <f>IFERROR(VLOOKUP(ТабПозиции[[#This Row],[orderNum]],ТабЗаказы[#Data],MATCH(E$7,ТабЗаказы[#Headers],0),0),"")</f>
        <v/>
      </c>
      <c r="F667" s="16" t="s">
        <v>1156</v>
      </c>
      <c r="G667" s="40" t="s">
        <v>545</v>
      </c>
      <c r="I667" s="18">
        <v>45498</v>
      </c>
      <c r="J667" s="10">
        <v>1</v>
      </c>
      <c r="K667" s="10">
        <v>247</v>
      </c>
      <c r="L667">
        <v>247</v>
      </c>
      <c r="M667" s="10">
        <v>261</v>
      </c>
      <c r="N667">
        <f t="shared" si="11"/>
        <v>261</v>
      </c>
      <c r="P6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Row],[orderNum]],ТабПозиции[orderSumm])&gt;1500),ABS(N667*VLOOKUP(ТабПозиции[[#This Row],[orderNum]],ТабЗаказы[#Data],MATCH("Percent",ТабЗаказы[#Headers],0),0))/100,200/COUNTIF(ТабПозиции[orderNum],ТабПозиции[[#This Row],[orderNum]])),0),"")</f>
        <v>39</v>
      </c>
      <c r="Q667">
        <f>IF(OR(ТабПозиции[[#This Row],[item]]="По штрихкоду",ТабПозиции[[#This Row],[item]]="Посылка"),ТабПозиции[[#This Row],[deliverySumm]]+ТабПозиции[[#This Row],[deliveryPost]],SUM(N667:P667))</f>
        <v>300</v>
      </c>
      <c r="R667" s="41">
        <v>300</v>
      </c>
      <c r="S667" s="46">
        <f>ТабПозиции[[#This Row],[totalSumm]]-ТабПозиции[[#This Row],[payment]]</f>
        <v>0</v>
      </c>
      <c r="T667" s="18" t="s">
        <v>970</v>
      </c>
      <c r="U667" s="40" t="s">
        <v>545</v>
      </c>
      <c r="V667" s="40" t="s">
        <v>545</v>
      </c>
      <c r="W667" s="40" t="s">
        <v>545</v>
      </c>
      <c r="X667" s="3"/>
      <c r="Y667"/>
    </row>
    <row r="668" spans="1:25" hidden="1" x14ac:dyDescent="0.25">
      <c r="A668" s="10">
        <v>186</v>
      </c>
      <c r="B668" s="1">
        <f>IFERROR(VLOOKUP(ТабПозиции[[#This Row],[orderNum]],ТабЗаказы[#Data],MATCH(B$7,ТабЗаказы[#Headers],0),0),"")</f>
        <v>45497</v>
      </c>
      <c r="C668" t="str">
        <f>MONTH(ТабПозиции[[#This Row],[date]])&amp;"/"&amp;YEAR(ТабПозиции[[#This Row],[date]])</f>
        <v>7/2024</v>
      </c>
      <c r="D668" s="1" t="str">
        <f>IFERROR(VLOOKUP(ТабПозиции[[#This Row],[orderNum]],ТабЗаказы[#Data],MATCH(D$7,ТабЗаказы[#Headers],0),0),"")</f>
        <v/>
      </c>
      <c r="E668" s="1" t="str">
        <f>IFERROR(VLOOKUP(ТабПозиции[[#This Row],[orderNum]],ТабЗаказы[#Data],MATCH(E$7,ТабЗаказы[#Headers],0),0),"")</f>
        <v/>
      </c>
      <c r="F668" s="16" t="s">
        <v>1157</v>
      </c>
      <c r="G668" s="40" t="s">
        <v>545</v>
      </c>
      <c r="I668" s="18">
        <v>45498</v>
      </c>
      <c r="J668" s="10">
        <v>1</v>
      </c>
      <c r="K668" s="10">
        <v>336</v>
      </c>
      <c r="L668">
        <v>336</v>
      </c>
      <c r="M668" s="10">
        <v>354</v>
      </c>
      <c r="N668">
        <f t="shared" si="11"/>
        <v>354</v>
      </c>
      <c r="P6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Row],[orderNum]],ТабПозиции[orderSumm])&gt;1500),ABS(N668*VLOOKUP(ТабПозиции[[#This Row],[orderNum]],ТабЗаказы[#Data],MATCH("Percent",ТабЗаказы[#Headers],0),0))/100,200/COUNTIF(ТабПозиции[orderNum],ТабПозиции[[#This Row],[orderNum]])),0),"")</f>
        <v>53</v>
      </c>
      <c r="Q668">
        <f>IF(OR(ТабПозиции[[#This Row],[item]]="По штрихкоду",ТабПозиции[[#This Row],[item]]="Посылка"),ТабПозиции[[#This Row],[deliverySumm]]+ТабПозиции[[#This Row],[deliveryPost]],SUM(N668:P668))</f>
        <v>407</v>
      </c>
      <c r="R668" s="41">
        <v>407</v>
      </c>
      <c r="S668" s="46">
        <f>ТабПозиции[[#This Row],[totalSumm]]-ТабПозиции[[#This Row],[payment]]</f>
        <v>0</v>
      </c>
      <c r="T668" s="18" t="s">
        <v>970</v>
      </c>
      <c r="U668" s="40" t="s">
        <v>545</v>
      </c>
      <c r="V668" s="40" t="s">
        <v>545</v>
      </c>
      <c r="W668" s="40" t="s">
        <v>545</v>
      </c>
      <c r="X668" s="3"/>
      <c r="Y668"/>
    </row>
    <row r="669" spans="1:25" hidden="1" x14ac:dyDescent="0.25">
      <c r="A669" s="10">
        <v>186</v>
      </c>
      <c r="B669" s="1">
        <f>IFERROR(VLOOKUP(ТабПозиции[[#This Row],[orderNum]],ТабЗаказы[#Data],MATCH(B$7,ТабЗаказы[#Headers],0),0),"")</f>
        <v>45497</v>
      </c>
      <c r="C669" t="str">
        <f>MONTH(ТабПозиции[[#This Row],[date]])&amp;"/"&amp;YEAR(ТабПозиции[[#This Row],[date]])</f>
        <v>7/2024</v>
      </c>
      <c r="D669" s="1" t="str">
        <f>IFERROR(VLOOKUP(ТабПозиции[[#This Row],[orderNum]],ТабЗаказы[#Data],MATCH(D$7,ТабЗаказы[#Headers],0),0),"")</f>
        <v/>
      </c>
      <c r="E669" s="1" t="str">
        <f>IFERROR(VLOOKUP(ТабПозиции[[#This Row],[orderNum]],ТабЗаказы[#Data],MATCH(E$7,ТабЗаказы[#Headers],0),0),"")</f>
        <v/>
      </c>
      <c r="F669" s="16" t="s">
        <v>1158</v>
      </c>
      <c r="G669" s="40" t="s">
        <v>545</v>
      </c>
      <c r="I669" s="18">
        <v>45498</v>
      </c>
      <c r="J669" s="10">
        <v>1</v>
      </c>
      <c r="K669" s="10">
        <v>228</v>
      </c>
      <c r="L669">
        <v>228</v>
      </c>
      <c r="M669" s="10">
        <v>240</v>
      </c>
      <c r="N669">
        <f t="shared" si="11"/>
        <v>240</v>
      </c>
      <c r="P6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Row],[orderNum]],ТабПозиции[orderSumm])&gt;1500),ABS(N669*VLOOKUP(ТабПозиции[[#This Row],[orderNum]],ТабЗаказы[#Data],MATCH("Percent",ТабЗаказы[#Headers],0),0))/100,200/COUNTIF(ТабПозиции[orderNum],ТабПозиции[[#This Row],[orderNum]])),0),"")</f>
        <v>36</v>
      </c>
      <c r="Q669">
        <f>IF(OR(ТабПозиции[[#This Row],[item]]="По штрихкоду",ТабПозиции[[#This Row],[item]]="Посылка"),ТабПозиции[[#This Row],[deliverySumm]]+ТабПозиции[[#This Row],[deliveryPost]],SUM(N669:P669))</f>
        <v>276</v>
      </c>
      <c r="R669" s="41">
        <v>276</v>
      </c>
      <c r="S669" s="46">
        <f>ТабПозиции[[#This Row],[totalSumm]]-ТабПозиции[[#This Row],[payment]]</f>
        <v>0</v>
      </c>
      <c r="T669" s="18" t="s">
        <v>970</v>
      </c>
      <c r="U669" s="40" t="s">
        <v>545</v>
      </c>
      <c r="V669" s="40" t="s">
        <v>545</v>
      </c>
      <c r="W669" s="40" t="s">
        <v>545</v>
      </c>
      <c r="X669" s="3"/>
      <c r="Y669"/>
    </row>
    <row r="670" spans="1:25" hidden="1" x14ac:dyDescent="0.25">
      <c r="A670" s="10">
        <v>186</v>
      </c>
      <c r="B670" s="1">
        <f>IFERROR(VLOOKUP(ТабПозиции[[#This Row],[orderNum]],ТабЗаказы[#Data],MATCH(B$7,ТабЗаказы[#Headers],0),0),"")</f>
        <v>45497</v>
      </c>
      <c r="C670" t="str">
        <f>MONTH(ТабПозиции[[#This Row],[date]])&amp;"/"&amp;YEAR(ТабПозиции[[#This Row],[date]])</f>
        <v>7/2024</v>
      </c>
      <c r="D670" s="1" t="str">
        <f>IFERROR(VLOOKUP(ТабПозиции[[#This Row],[orderNum]],ТабЗаказы[#Data],MATCH(D$7,ТабЗаказы[#Headers],0),0),"")</f>
        <v/>
      </c>
      <c r="E670" s="1" t="str">
        <f>IFERROR(VLOOKUP(ТабПозиции[[#This Row],[orderNum]],ТабЗаказы[#Data],MATCH(E$7,ТабЗаказы[#Headers],0),0),"")</f>
        <v/>
      </c>
      <c r="F670" s="16" t="s">
        <v>1159</v>
      </c>
      <c r="G670" s="40" t="s">
        <v>545</v>
      </c>
      <c r="I670" s="18">
        <v>45498</v>
      </c>
      <c r="J670" s="10">
        <v>1</v>
      </c>
      <c r="K670" s="10">
        <v>226</v>
      </c>
      <c r="L670">
        <v>226</v>
      </c>
      <c r="M670" s="10">
        <v>238</v>
      </c>
      <c r="N670">
        <f t="shared" si="11"/>
        <v>238</v>
      </c>
      <c r="P6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Row],[orderNum]],ТабПозиции[orderSumm])&gt;1500),ABS(N670*VLOOKUP(ТабПозиции[[#This Row],[orderNum]],ТабЗаказы[#Data],MATCH("Percent",ТабЗаказы[#Headers],0),0))/100,200/COUNTIF(ТабПозиции[orderNum],ТабПозиции[[#This Row],[orderNum]])),0),"")</f>
        <v>36</v>
      </c>
      <c r="Q670">
        <f>IF(OR(ТабПозиции[[#This Row],[item]]="По штрихкоду",ТабПозиции[[#This Row],[item]]="Посылка"),ТабПозиции[[#This Row],[deliverySumm]]+ТабПозиции[[#This Row],[deliveryPost]],SUM(N670:P670))</f>
        <v>274</v>
      </c>
      <c r="R670" s="41">
        <v>274</v>
      </c>
      <c r="S670" s="46">
        <f>ТабПозиции[[#This Row],[totalSumm]]-ТабПозиции[[#This Row],[payment]]</f>
        <v>0</v>
      </c>
      <c r="T670" s="18" t="s">
        <v>970</v>
      </c>
      <c r="U670" s="40" t="s">
        <v>545</v>
      </c>
      <c r="V670" s="40" t="s">
        <v>545</v>
      </c>
      <c r="W670" s="40" t="s">
        <v>545</v>
      </c>
      <c r="X670" s="3"/>
      <c r="Y670"/>
    </row>
    <row r="671" spans="1:25" hidden="1" x14ac:dyDescent="0.25">
      <c r="A671" s="10">
        <v>186</v>
      </c>
      <c r="B671" s="1">
        <f>IFERROR(VLOOKUP(ТабПозиции[[#This Row],[orderNum]],ТабЗаказы[#Data],MATCH(B$7,ТабЗаказы[#Headers],0),0),"")</f>
        <v>45497</v>
      </c>
      <c r="C671" t="str">
        <f>MONTH(ТабПозиции[[#This Row],[date]])&amp;"/"&amp;YEAR(ТабПозиции[[#This Row],[date]])</f>
        <v>7/2024</v>
      </c>
      <c r="D671" s="1" t="str">
        <f>IFERROR(VLOOKUP(ТабПозиции[[#This Row],[orderNum]],ТабЗаказы[#Data],MATCH(D$7,ТабЗаказы[#Headers],0),0),"")</f>
        <v/>
      </c>
      <c r="E671" s="1" t="str">
        <f>IFERROR(VLOOKUP(ТабПозиции[[#This Row],[orderNum]],ТабЗаказы[#Data],MATCH(E$7,ТабЗаказы[#Headers],0),0),"")</f>
        <v/>
      </c>
      <c r="F671" s="16" t="s">
        <v>1160</v>
      </c>
      <c r="G671" s="40" t="s">
        <v>545</v>
      </c>
      <c r="I671" s="18">
        <v>45500</v>
      </c>
      <c r="J671" s="10">
        <v>1</v>
      </c>
      <c r="K671" s="10">
        <v>124</v>
      </c>
      <c r="L671">
        <v>124</v>
      </c>
      <c r="M671" s="10">
        <v>131</v>
      </c>
      <c r="N671">
        <f t="shared" si="11"/>
        <v>131</v>
      </c>
      <c r="P6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Row],[orderNum]],ТабПозиции[orderSumm])&gt;1500),ABS(N671*VLOOKUP(ТабПозиции[[#This Row],[orderNum]],ТабЗаказы[#Data],MATCH("Percent",ТабЗаказы[#Headers],0),0))/100,200/COUNTIF(ТабПозиции[orderNum],ТабПозиции[[#This Row],[orderNum]])),0),"")</f>
        <v>20</v>
      </c>
      <c r="Q671">
        <f>IF(OR(ТабПозиции[[#This Row],[item]]="По штрихкоду",ТабПозиции[[#This Row],[item]]="Посылка"),ТабПозиции[[#This Row],[deliverySumm]]+ТабПозиции[[#This Row],[deliveryPost]],SUM(N671:P671))</f>
        <v>151</v>
      </c>
      <c r="R671" s="41">
        <v>151</v>
      </c>
      <c r="S671" s="46">
        <f>ТабПозиции[[#This Row],[totalSumm]]-ТабПозиции[[#This Row],[payment]]</f>
        <v>0</v>
      </c>
      <c r="T671" s="18" t="s">
        <v>970</v>
      </c>
      <c r="U671" s="40" t="s">
        <v>545</v>
      </c>
      <c r="V671" s="40" t="s">
        <v>545</v>
      </c>
      <c r="W671" s="40" t="s">
        <v>545</v>
      </c>
      <c r="X671" s="3"/>
      <c r="Y671"/>
    </row>
    <row r="672" spans="1:25" hidden="1" x14ac:dyDescent="0.25">
      <c r="A672" s="10">
        <v>186</v>
      </c>
      <c r="B672" s="1">
        <f>IFERROR(VLOOKUP(ТабПозиции[[#This Row],[orderNum]],ТабЗаказы[#Data],MATCH(B$7,ТабЗаказы[#Headers],0),0),"")</f>
        <v>45497</v>
      </c>
      <c r="C672" t="str">
        <f>MONTH(ТабПозиции[[#This Row],[date]])&amp;"/"&amp;YEAR(ТабПозиции[[#This Row],[date]])</f>
        <v>7/2024</v>
      </c>
      <c r="D672" s="1" t="str">
        <f>IFERROR(VLOOKUP(ТабПозиции[[#This Row],[orderNum]],ТабЗаказы[#Data],MATCH(D$7,ТабЗаказы[#Headers],0),0),"")</f>
        <v/>
      </c>
      <c r="E672" s="1" t="str">
        <f>IFERROR(VLOOKUP(ТабПозиции[[#This Row],[orderNum]],ТабЗаказы[#Data],MATCH(E$7,ТабЗаказы[#Headers],0),0),"")</f>
        <v/>
      </c>
      <c r="F672" s="16" t="s">
        <v>1161</v>
      </c>
      <c r="G672" s="40" t="s">
        <v>545</v>
      </c>
      <c r="I672" s="18">
        <v>45501</v>
      </c>
      <c r="J672" s="10">
        <v>1</v>
      </c>
      <c r="K672" s="10">
        <v>545</v>
      </c>
      <c r="L672">
        <v>545</v>
      </c>
      <c r="M672" s="10">
        <v>574</v>
      </c>
      <c r="N672">
        <f t="shared" si="11"/>
        <v>574</v>
      </c>
      <c r="P6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Row],[orderNum]],ТабПозиции[orderSumm])&gt;1500),ABS(N672*VLOOKUP(ТабПозиции[[#This Row],[orderNum]],ТабЗаказы[#Data],MATCH("Percent",ТабЗаказы[#Headers],0),0))/100,200/COUNTIF(ТабПозиции[orderNum],ТабПозиции[[#This Row],[orderNum]])),0),"")</f>
        <v>86</v>
      </c>
      <c r="Q672">
        <f>IF(OR(ТабПозиции[[#This Row],[item]]="По штрихкоду",ТабПозиции[[#This Row],[item]]="Посылка"),ТабПозиции[[#This Row],[deliverySumm]]+ТабПозиции[[#This Row],[deliveryPost]],SUM(N672:P672))</f>
        <v>660</v>
      </c>
      <c r="R672" s="41">
        <v>660</v>
      </c>
      <c r="S672" s="46">
        <f>ТабПозиции[[#This Row],[totalSumm]]-ТабПозиции[[#This Row],[payment]]</f>
        <v>0</v>
      </c>
      <c r="T672" s="18" t="s">
        <v>970</v>
      </c>
      <c r="U672" s="40" t="s">
        <v>545</v>
      </c>
      <c r="V672" s="40" t="s">
        <v>545</v>
      </c>
      <c r="W672" s="40" t="s">
        <v>545</v>
      </c>
      <c r="X672" s="3"/>
      <c r="Y672"/>
    </row>
    <row r="673" spans="1:25" hidden="1" x14ac:dyDescent="0.25">
      <c r="A673" s="10">
        <v>186</v>
      </c>
      <c r="B673" s="1">
        <f>IFERROR(VLOOKUP(ТабПозиции[[#This Row],[orderNum]],ТабЗаказы[#Data],MATCH(B$7,ТабЗаказы[#Headers],0),0),"")</f>
        <v>45497</v>
      </c>
      <c r="C673" t="str">
        <f>MONTH(ТабПозиции[[#This Row],[date]])&amp;"/"&amp;YEAR(ТабПозиции[[#This Row],[date]])</f>
        <v>7/2024</v>
      </c>
      <c r="D673" s="1" t="str">
        <f>IFERROR(VLOOKUP(ТабПозиции[[#This Row],[orderNum]],ТабЗаказы[#Data],MATCH(D$7,ТабЗаказы[#Headers],0),0),"")</f>
        <v/>
      </c>
      <c r="E673" s="1" t="str">
        <f>IFERROR(VLOOKUP(ТабПозиции[[#This Row],[orderNum]],ТабЗаказы[#Data],MATCH(E$7,ТабЗаказы[#Headers],0),0),"")</f>
        <v/>
      </c>
      <c r="F673" s="16" t="s">
        <v>1162</v>
      </c>
      <c r="G673" s="40" t="s">
        <v>545</v>
      </c>
      <c r="I673" s="18">
        <v>45499</v>
      </c>
      <c r="J673" s="10">
        <v>1</v>
      </c>
      <c r="K673" s="10">
        <v>449</v>
      </c>
      <c r="L673">
        <v>449</v>
      </c>
      <c r="M673" s="10">
        <v>473</v>
      </c>
      <c r="N673">
        <f t="shared" ref="N673:N736" si="12">M673*J673</f>
        <v>473</v>
      </c>
      <c r="P6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Row],[orderNum]],ТабПозиции[orderSumm])&gt;1500),ABS(N673*VLOOKUP(ТабПозиции[[#This Row],[orderNum]],ТабЗаказы[#Data],MATCH("Percent",ТабЗаказы[#Headers],0),0))/100,200/COUNTIF(ТабПозиции[orderNum],ТабПозиции[[#This Row],[orderNum]])),0),"")</f>
        <v>71</v>
      </c>
      <c r="Q673">
        <f>IF(OR(ТабПозиции[[#This Row],[item]]="По штрихкоду",ТабПозиции[[#This Row],[item]]="Посылка"),ТабПозиции[[#This Row],[deliverySumm]]+ТабПозиции[[#This Row],[deliveryPost]],SUM(N673:P673))</f>
        <v>544</v>
      </c>
      <c r="R673" s="41">
        <v>544</v>
      </c>
      <c r="S673" s="46">
        <f>ТабПозиции[[#This Row],[totalSumm]]-ТабПозиции[[#This Row],[payment]]</f>
        <v>0</v>
      </c>
      <c r="T673" s="18" t="s">
        <v>970</v>
      </c>
      <c r="U673" s="40" t="s">
        <v>545</v>
      </c>
      <c r="V673" s="40" t="s">
        <v>545</v>
      </c>
      <c r="W673" s="40" t="s">
        <v>545</v>
      </c>
      <c r="X673" s="3"/>
      <c r="Y673"/>
    </row>
    <row r="674" spans="1:25" hidden="1" x14ac:dyDescent="0.25">
      <c r="A674" s="10">
        <v>186</v>
      </c>
      <c r="B674" s="1">
        <f>IFERROR(VLOOKUP(ТабПозиции[[#This Row],[orderNum]],ТабЗаказы[#Data],MATCH(B$7,ТабЗаказы[#Headers],0),0),"")</f>
        <v>45497</v>
      </c>
      <c r="C674" t="str">
        <f>MONTH(ТабПозиции[[#This Row],[date]])&amp;"/"&amp;YEAR(ТабПозиции[[#This Row],[date]])</f>
        <v>7/2024</v>
      </c>
      <c r="D674" s="1" t="str">
        <f>IFERROR(VLOOKUP(ТабПозиции[[#This Row],[orderNum]],ТабЗаказы[#Data],MATCH(D$7,ТабЗаказы[#Headers],0),0),"")</f>
        <v/>
      </c>
      <c r="E674" s="1" t="str">
        <f>IFERROR(VLOOKUP(ТабПозиции[[#This Row],[orderNum]],ТабЗаказы[#Data],MATCH(E$7,ТабЗаказы[#Headers],0),0),"")</f>
        <v/>
      </c>
      <c r="F674" s="16" t="s">
        <v>1163</v>
      </c>
      <c r="G674" s="40" t="s">
        <v>545</v>
      </c>
      <c r="I674" s="18">
        <v>45498</v>
      </c>
      <c r="J674" s="10">
        <v>1</v>
      </c>
      <c r="K674" s="10">
        <v>275</v>
      </c>
      <c r="L674">
        <v>275</v>
      </c>
      <c r="M674" s="10">
        <v>290</v>
      </c>
      <c r="N674">
        <f t="shared" si="12"/>
        <v>290</v>
      </c>
      <c r="P6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Row],[orderNum]],ТабПозиции[orderSumm])&gt;1500),ABS(N674*VLOOKUP(ТабПозиции[[#This Row],[orderNum]],ТабЗаказы[#Data],MATCH("Percent",ТабЗаказы[#Headers],0),0))/100,200/COUNTIF(ТабПозиции[orderNum],ТабПозиции[[#This Row],[orderNum]])),0),"")</f>
        <v>44</v>
      </c>
      <c r="Q674">
        <f>IF(OR(ТабПозиции[[#This Row],[item]]="По штрихкоду",ТабПозиции[[#This Row],[item]]="Посылка"),ТабПозиции[[#This Row],[deliverySumm]]+ТабПозиции[[#This Row],[deliveryPost]],SUM(N674:P674))</f>
        <v>334</v>
      </c>
      <c r="R674" s="41">
        <v>334</v>
      </c>
      <c r="S674" s="46">
        <f>ТабПозиции[[#This Row],[totalSumm]]-ТабПозиции[[#This Row],[payment]]</f>
        <v>0</v>
      </c>
      <c r="T674" s="18" t="s">
        <v>970</v>
      </c>
      <c r="U674" s="40" t="s">
        <v>545</v>
      </c>
      <c r="V674" s="40" t="s">
        <v>545</v>
      </c>
      <c r="W674" s="40" t="s">
        <v>545</v>
      </c>
      <c r="X674" s="3"/>
      <c r="Y674"/>
    </row>
    <row r="675" spans="1:25" hidden="1" x14ac:dyDescent="0.25">
      <c r="A675" s="10">
        <v>186</v>
      </c>
      <c r="B675" s="1">
        <f>IFERROR(VLOOKUP(ТабПозиции[[#This Row],[orderNum]],ТабЗаказы[#Data],MATCH(B$7,ТабЗаказы[#Headers],0),0),"")</f>
        <v>45497</v>
      </c>
      <c r="C675" t="str">
        <f>MONTH(ТабПозиции[[#This Row],[date]])&amp;"/"&amp;YEAR(ТабПозиции[[#This Row],[date]])</f>
        <v>7/2024</v>
      </c>
      <c r="D675" s="1" t="str">
        <f>IFERROR(VLOOKUP(ТабПозиции[[#This Row],[orderNum]],ТабЗаказы[#Data],MATCH(D$7,ТабЗаказы[#Headers],0),0),"")</f>
        <v/>
      </c>
      <c r="E675" s="1" t="str">
        <f>IFERROR(VLOOKUP(ТабПозиции[[#This Row],[orderNum]],ТабЗаказы[#Data],MATCH(E$7,ТабЗаказы[#Headers],0),0),"")</f>
        <v/>
      </c>
      <c r="F675" s="16" t="s">
        <v>1164</v>
      </c>
      <c r="G675" s="40" t="s">
        <v>545</v>
      </c>
      <c r="I675" s="18">
        <v>45500</v>
      </c>
      <c r="J675" s="10">
        <v>1</v>
      </c>
      <c r="K675" s="10">
        <v>421</v>
      </c>
      <c r="L675">
        <v>421</v>
      </c>
      <c r="M675" s="10">
        <v>444</v>
      </c>
      <c r="N675">
        <f t="shared" si="12"/>
        <v>444</v>
      </c>
      <c r="P6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Row],[orderNum]],ТабПозиции[orderSumm])&gt;1500),ABS(N675*VLOOKUP(ТабПозиции[[#This Row],[orderNum]],ТабЗаказы[#Data],MATCH("Percent",ТабЗаказы[#Headers],0),0))/100,200/COUNTIF(ТабПозиции[orderNum],ТабПозиции[[#This Row],[orderNum]])),0),"")</f>
        <v>67</v>
      </c>
      <c r="Q675">
        <f>IF(OR(ТабПозиции[[#This Row],[item]]="По штрихкоду",ТабПозиции[[#This Row],[item]]="Посылка"),ТабПозиции[[#This Row],[deliverySumm]]+ТабПозиции[[#This Row],[deliveryPost]],SUM(N675:P675))</f>
        <v>511</v>
      </c>
      <c r="R675" s="41">
        <v>511</v>
      </c>
      <c r="S675" s="46">
        <f>ТабПозиции[[#This Row],[totalSumm]]-ТабПозиции[[#This Row],[payment]]</f>
        <v>0</v>
      </c>
      <c r="T675" s="18" t="s">
        <v>970</v>
      </c>
      <c r="U675" s="40" t="s">
        <v>545</v>
      </c>
      <c r="V675" s="40" t="s">
        <v>545</v>
      </c>
      <c r="W675" s="40" t="s">
        <v>545</v>
      </c>
      <c r="X675" s="3"/>
      <c r="Y675"/>
    </row>
    <row r="676" spans="1:25" hidden="1" x14ac:dyDescent="0.25">
      <c r="A676" s="10">
        <v>186</v>
      </c>
      <c r="B676" s="1">
        <f>IFERROR(VLOOKUP(ТабПозиции[[#This Row],[orderNum]],ТабЗаказы[#Data],MATCH(B$7,ТабЗаказы[#Headers],0),0),"")</f>
        <v>45497</v>
      </c>
      <c r="C676" t="str">
        <f>MONTH(ТабПозиции[[#This Row],[date]])&amp;"/"&amp;YEAR(ТабПозиции[[#This Row],[date]])</f>
        <v>7/2024</v>
      </c>
      <c r="D676" s="1" t="str">
        <f>IFERROR(VLOOKUP(ТабПозиции[[#This Row],[orderNum]],ТабЗаказы[#Data],MATCH(D$7,ТабЗаказы[#Headers],0),0),"")</f>
        <v/>
      </c>
      <c r="E676" s="1" t="str">
        <f>IFERROR(VLOOKUP(ТабПозиции[[#This Row],[orderNum]],ТабЗаказы[#Data],MATCH(E$7,ТабЗаказы[#Headers],0),0),"")</f>
        <v/>
      </c>
      <c r="F676" s="16" t="s">
        <v>1165</v>
      </c>
      <c r="G676" s="40" t="s">
        <v>545</v>
      </c>
      <c r="I676" s="18">
        <v>45498</v>
      </c>
      <c r="J676" s="10">
        <v>1</v>
      </c>
      <c r="K676" s="10">
        <v>511</v>
      </c>
      <c r="L676">
        <v>511</v>
      </c>
      <c r="M676" s="10">
        <v>538</v>
      </c>
      <c r="N676">
        <f t="shared" si="12"/>
        <v>538</v>
      </c>
      <c r="P6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Row],[orderNum]],ТабПозиции[orderSumm])&gt;1500),ABS(N676*VLOOKUP(ТабПозиции[[#This Row],[orderNum]],ТабЗаказы[#Data],MATCH("Percent",ТабЗаказы[#Headers],0),0))/100,200/COUNTIF(ТабПозиции[orderNum],ТабПозиции[[#This Row],[orderNum]])),0),"")</f>
        <v>81</v>
      </c>
      <c r="Q676">
        <f>IF(OR(ТабПозиции[[#This Row],[item]]="По штрихкоду",ТабПозиции[[#This Row],[item]]="Посылка"),ТабПозиции[[#This Row],[deliverySumm]]+ТабПозиции[[#This Row],[deliveryPost]],SUM(N676:P676))</f>
        <v>619</v>
      </c>
      <c r="R676" s="41">
        <v>619</v>
      </c>
      <c r="S676" s="46">
        <f>ТабПозиции[[#This Row],[totalSumm]]-ТабПозиции[[#This Row],[payment]]</f>
        <v>0</v>
      </c>
      <c r="T676" s="18" t="s">
        <v>970</v>
      </c>
      <c r="U676" s="40" t="s">
        <v>545</v>
      </c>
      <c r="V676" s="40" t="s">
        <v>545</v>
      </c>
      <c r="W676" s="40" t="s">
        <v>545</v>
      </c>
      <c r="X676" s="3"/>
      <c r="Y676"/>
    </row>
    <row r="677" spans="1:25" hidden="1" x14ac:dyDescent="0.25">
      <c r="A677" s="10">
        <v>186</v>
      </c>
      <c r="B677" s="1">
        <f>IFERROR(VLOOKUP(ТабПозиции[[#This Row],[orderNum]],ТабЗаказы[#Data],MATCH(B$7,ТабЗаказы[#Headers],0),0),"")</f>
        <v>45497</v>
      </c>
      <c r="C677" t="str">
        <f>MONTH(ТабПозиции[[#This Row],[date]])&amp;"/"&amp;YEAR(ТабПозиции[[#This Row],[date]])</f>
        <v>7/2024</v>
      </c>
      <c r="D677" s="1" t="str">
        <f>IFERROR(VLOOKUP(ТабПозиции[[#This Row],[orderNum]],ТабЗаказы[#Data],MATCH(D$7,ТабЗаказы[#Headers],0),0),"")</f>
        <v/>
      </c>
      <c r="E677" s="1" t="str">
        <f>IFERROR(VLOOKUP(ТабПозиции[[#This Row],[orderNum]],ТабЗаказы[#Data],MATCH(E$7,ТабЗаказы[#Headers],0),0),"")</f>
        <v/>
      </c>
      <c r="F677" s="16" t="s">
        <v>1166</v>
      </c>
      <c r="G677" s="40" t="s">
        <v>545</v>
      </c>
      <c r="I677" s="18">
        <v>45498</v>
      </c>
      <c r="J677" s="10">
        <v>1</v>
      </c>
      <c r="K677" s="10">
        <v>380</v>
      </c>
      <c r="L677">
        <v>380</v>
      </c>
      <c r="M677" s="10">
        <v>400</v>
      </c>
      <c r="N677">
        <f t="shared" si="12"/>
        <v>400</v>
      </c>
      <c r="P6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Row],[orderNum]],ТабПозиции[orderSumm])&gt;1500),ABS(N677*VLOOKUP(ТабПозиции[[#This Row],[orderNum]],ТабЗаказы[#Data],MATCH("Percent",ТабЗаказы[#Headers],0),0))/100,200/COUNTIF(ТабПозиции[orderNum],ТабПозиции[[#This Row],[orderNum]])),0),"")</f>
        <v>60</v>
      </c>
      <c r="Q677">
        <f>IF(OR(ТабПозиции[[#This Row],[item]]="По штрихкоду",ТабПозиции[[#This Row],[item]]="Посылка"),ТабПозиции[[#This Row],[deliverySumm]]+ТабПозиции[[#This Row],[deliveryPost]],SUM(N677:P677))</f>
        <v>460</v>
      </c>
      <c r="R677" s="41">
        <v>460</v>
      </c>
      <c r="S677" s="46">
        <f>ТабПозиции[[#This Row],[totalSumm]]-ТабПозиции[[#This Row],[payment]]</f>
        <v>0</v>
      </c>
      <c r="T677" s="18" t="s">
        <v>970</v>
      </c>
      <c r="U677" s="40" t="s">
        <v>545</v>
      </c>
      <c r="V677" s="40" t="s">
        <v>545</v>
      </c>
      <c r="W677" s="40" t="s">
        <v>545</v>
      </c>
      <c r="X677" s="3"/>
      <c r="Y677"/>
    </row>
    <row r="678" spans="1:25" hidden="1" x14ac:dyDescent="0.25">
      <c r="A678" s="10">
        <v>186</v>
      </c>
      <c r="B678" s="1">
        <f>IFERROR(VLOOKUP(ТабПозиции[[#This Row],[orderNum]],ТабЗаказы[#Data],MATCH(B$7,ТабЗаказы[#Headers],0),0),"")</f>
        <v>45497</v>
      </c>
      <c r="C678" t="str">
        <f>MONTH(ТабПозиции[[#This Row],[date]])&amp;"/"&amp;YEAR(ТабПозиции[[#This Row],[date]])</f>
        <v>7/2024</v>
      </c>
      <c r="D678" s="1" t="str">
        <f>IFERROR(VLOOKUP(ТабПозиции[[#This Row],[orderNum]],ТабЗаказы[#Data],MATCH(D$7,ТабЗаказы[#Headers],0),0),"")</f>
        <v/>
      </c>
      <c r="E678" s="1" t="str">
        <f>IFERROR(VLOOKUP(ТабПозиции[[#This Row],[orderNum]],ТабЗаказы[#Data],MATCH(E$7,ТабЗаказы[#Headers],0),0),"")</f>
        <v/>
      </c>
      <c r="F678" s="16" t="s">
        <v>668</v>
      </c>
      <c r="G678" s="40" t="s">
        <v>545</v>
      </c>
      <c r="I678" s="18">
        <v>45498</v>
      </c>
      <c r="J678" s="10">
        <v>1</v>
      </c>
      <c r="K678" s="10">
        <v>242</v>
      </c>
      <c r="L678">
        <v>242</v>
      </c>
      <c r="M678" s="10">
        <v>255</v>
      </c>
      <c r="N678">
        <f t="shared" si="12"/>
        <v>255</v>
      </c>
      <c r="P6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Row],[orderNum]],ТабПозиции[orderSumm])&gt;1500),ABS(N678*VLOOKUP(ТабПозиции[[#This Row],[orderNum]],ТабЗаказы[#Data],MATCH("Percent",ТабЗаказы[#Headers],0),0))/100,200/COUNTIF(ТабПозиции[orderNum],ТабПозиции[[#This Row],[orderNum]])),0),"")</f>
        <v>38</v>
      </c>
      <c r="Q678">
        <f>IF(OR(ТабПозиции[[#This Row],[item]]="По штрихкоду",ТабПозиции[[#This Row],[item]]="Посылка"),ТабПозиции[[#This Row],[deliverySumm]]+ТабПозиции[[#This Row],[deliveryPost]],SUM(N678:P678))</f>
        <v>293</v>
      </c>
      <c r="R678" s="41">
        <v>293</v>
      </c>
      <c r="S678" s="46">
        <f>ТабПозиции[[#This Row],[totalSumm]]-ТабПозиции[[#This Row],[payment]]</f>
        <v>0</v>
      </c>
      <c r="T678" s="18" t="s">
        <v>970</v>
      </c>
      <c r="U678" s="40" t="s">
        <v>545</v>
      </c>
      <c r="V678" s="40" t="s">
        <v>545</v>
      </c>
      <c r="W678" s="40" t="s">
        <v>545</v>
      </c>
      <c r="X678" s="3"/>
      <c r="Y678"/>
    </row>
    <row r="679" spans="1:25" hidden="1" x14ac:dyDescent="0.25">
      <c r="A679" s="10">
        <v>186</v>
      </c>
      <c r="B679" s="1">
        <f>IFERROR(VLOOKUP(ТабПозиции[[#This Row],[orderNum]],ТабЗаказы[#Data],MATCH(B$7,ТабЗаказы[#Headers],0),0),"")</f>
        <v>45497</v>
      </c>
      <c r="C679" t="str">
        <f>MONTH(ТабПозиции[[#This Row],[date]])&amp;"/"&amp;YEAR(ТабПозиции[[#This Row],[date]])</f>
        <v>7/2024</v>
      </c>
      <c r="D679" s="1" t="str">
        <f>IFERROR(VLOOKUP(ТабПозиции[[#This Row],[orderNum]],ТабЗаказы[#Data],MATCH(D$7,ТабЗаказы[#Headers],0),0),"")</f>
        <v/>
      </c>
      <c r="E679" s="1" t="str">
        <f>IFERROR(VLOOKUP(ТабПозиции[[#This Row],[orderNum]],ТабЗаказы[#Data],MATCH(E$7,ТабЗаказы[#Headers],0),0),"")</f>
        <v/>
      </c>
      <c r="F679" s="16" t="s">
        <v>1167</v>
      </c>
      <c r="G679" s="40" t="s">
        <v>545</v>
      </c>
      <c r="I679" s="18">
        <v>45498</v>
      </c>
      <c r="J679" s="10">
        <v>1</v>
      </c>
      <c r="K679" s="10">
        <v>259</v>
      </c>
      <c r="L679">
        <v>259</v>
      </c>
      <c r="M679" s="10">
        <v>273</v>
      </c>
      <c r="N679">
        <f t="shared" si="12"/>
        <v>273</v>
      </c>
      <c r="P6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Row],[orderNum]],ТабПозиции[orderSumm])&gt;1500),ABS(N679*VLOOKUP(ТабПозиции[[#This Row],[orderNum]],ТабЗаказы[#Data],MATCH("Percent",ТабЗаказы[#Headers],0),0))/100,200/COUNTIF(ТабПозиции[orderNum],ТабПозиции[[#This Row],[orderNum]])),0),"")</f>
        <v>41</v>
      </c>
      <c r="Q679">
        <f>IF(OR(ТабПозиции[[#This Row],[item]]="По штрихкоду",ТабПозиции[[#This Row],[item]]="Посылка"),ТабПозиции[[#This Row],[deliverySumm]]+ТабПозиции[[#This Row],[deliveryPost]],SUM(N679:P679))</f>
        <v>314</v>
      </c>
      <c r="R679" s="41">
        <v>314</v>
      </c>
      <c r="S679" s="46">
        <f>ТабПозиции[[#This Row],[totalSumm]]-ТабПозиции[[#This Row],[payment]]</f>
        <v>0</v>
      </c>
      <c r="T679" s="18" t="s">
        <v>970</v>
      </c>
      <c r="U679" s="40" t="s">
        <v>545</v>
      </c>
      <c r="V679" s="40" t="s">
        <v>545</v>
      </c>
      <c r="W679" s="40" t="s">
        <v>545</v>
      </c>
      <c r="X679" s="3"/>
      <c r="Y679"/>
    </row>
    <row r="680" spans="1:25" hidden="1" x14ac:dyDescent="0.25">
      <c r="A680" s="10">
        <v>187</v>
      </c>
      <c r="B680" s="1">
        <f>IFERROR(VLOOKUP(ТабПозиции[[#This Row],[orderNum]],ТабЗаказы[#Data],MATCH(B$7,ТабЗаказы[#Headers],0),0),"")</f>
        <v>45497</v>
      </c>
      <c r="C680" t="str">
        <f>MONTH(ТабПозиции[[#This Row],[date]])&amp;"/"&amp;YEAR(ТабПозиции[[#This Row],[date]])</f>
        <v>7/2024</v>
      </c>
      <c r="D680" s="1" t="str">
        <f>IFERROR(VLOOKUP(ТабПозиции[[#This Row],[orderNum]],ТабЗаказы[#Data],MATCH(D$7,ТабЗаказы[#Headers],0),0),"")</f>
        <v/>
      </c>
      <c r="E680" s="1" t="str">
        <f>IFERROR(VLOOKUP(ТабПозиции[[#This Row],[orderNum]],ТабЗаказы[#Data],MATCH(E$7,ТабЗаказы[#Headers],0),0),"")</f>
        <v/>
      </c>
      <c r="F680" s="16" t="s">
        <v>1168</v>
      </c>
      <c r="G680" s="40" t="s">
        <v>545</v>
      </c>
      <c r="I680" s="18">
        <v>45499</v>
      </c>
      <c r="J680" s="10">
        <v>1</v>
      </c>
      <c r="K680" s="10">
        <v>1227</v>
      </c>
      <c r="L680">
        <v>1227</v>
      </c>
      <c r="M680" s="10">
        <v>1292</v>
      </c>
      <c r="N680">
        <f t="shared" si="12"/>
        <v>1292</v>
      </c>
      <c r="P6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Row],[orderNum]],ТабПозиции[orderSumm])&gt;1500),ABS(N680*VLOOKUP(ТабПозиции[[#This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680">
        <f>IF(OR(ТабПозиции[[#This Row],[item]]="По штрихкоду",ТабПозиции[[#This Row],[item]]="Посылка"),ТабПозиции[[#This Row],[deliverySumm]]+ТабПозиции[[#This Row],[deliveryPost]],SUM(N680:P680))</f>
        <v>1492</v>
      </c>
      <c r="R680" s="41">
        <v>1492</v>
      </c>
      <c r="S680" s="46">
        <f>ТабПозиции[[#This Row],[totalSumm]]-ТабПозиции[[#This Row],[payment]]</f>
        <v>0</v>
      </c>
      <c r="T680" s="18" t="s">
        <v>970</v>
      </c>
      <c r="U680" s="40" t="s">
        <v>545</v>
      </c>
      <c r="V680" s="40" t="s">
        <v>545</v>
      </c>
      <c r="W680" s="40" t="s">
        <v>545</v>
      </c>
      <c r="X680" s="3"/>
      <c r="Y680"/>
    </row>
    <row r="681" spans="1:25" hidden="1" x14ac:dyDescent="0.25">
      <c r="A681" s="10">
        <v>188</v>
      </c>
      <c r="B681" s="1">
        <f>IFERROR(VLOOKUP(ТабПозиции[[#This Row],[orderNum]],ТабЗаказы[#Data],MATCH(B$7,ТабЗаказы[#Headers],0),0),"")</f>
        <v>45497</v>
      </c>
      <c r="C681" t="str">
        <f>MONTH(ТабПозиции[[#This Row],[date]])&amp;"/"&amp;YEAR(ТабПозиции[[#This Row],[date]])</f>
        <v>7/2024</v>
      </c>
      <c r="D681" s="1" t="str">
        <f>IFERROR(VLOOKUP(ТабПозиции[[#This Row],[orderNum]],ТабЗаказы[#Data],MATCH(D$7,ТабЗаказы[#Headers],0),0),"")</f>
        <v/>
      </c>
      <c r="E681" s="1" t="str">
        <f>IFERROR(VLOOKUP(ТабПозиции[[#This Row],[orderNum]],ТабЗаказы[#Data],MATCH(E$7,ТабЗаказы[#Headers],0),0),"")</f>
        <v/>
      </c>
      <c r="F681" s="10" t="s">
        <v>820</v>
      </c>
      <c r="G681" s="40" t="s">
        <v>545</v>
      </c>
      <c r="I681" s="18">
        <v>45493</v>
      </c>
      <c r="J681" s="10">
        <v>1</v>
      </c>
      <c r="K681" s="10">
        <v>26000</v>
      </c>
      <c r="L681">
        <v>26000</v>
      </c>
      <c r="M681" s="10">
        <v>26000</v>
      </c>
      <c r="N681">
        <f t="shared" si="12"/>
        <v>26000</v>
      </c>
      <c r="O681" s="10">
        <v>470</v>
      </c>
      <c r="P6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Row],[orderNum]],ТабПозиции[orderSumm])&gt;1500),ABS(N681*VLOOKUP(ТабПозиции[[#This Row],[orderNum]],ТабЗаказы[#Data],MATCH("Percent",ТабЗаказы[#Headers],0),0))/100,200/COUNTIF(ТабПозиции[orderNum],ТабПозиции[[#This Row],[orderNum]])),0),"")</f>
        <v>2600</v>
      </c>
      <c r="Q681">
        <f>IF(OR(ТабПозиции[[#This Row],[item]]="По штрихкоду",ТабПозиции[[#This Row],[item]]="Посылка"),ТабПозиции[[#This Row],[deliverySumm]]+ТабПозиции[[#This Row],[deliveryPost]],SUM(N681:P681))</f>
        <v>3070</v>
      </c>
      <c r="R681" s="41">
        <v>3070</v>
      </c>
      <c r="S681" s="46">
        <f>ТабПозиции[[#This Row],[totalSumm]]-ТабПозиции[[#This Row],[payment]]</f>
        <v>0</v>
      </c>
      <c r="T681" s="18" t="s">
        <v>1021</v>
      </c>
      <c r="U681" s="40" t="s">
        <v>545</v>
      </c>
      <c r="V681" s="40" t="s">
        <v>545</v>
      </c>
      <c r="W681" s="40" t="s">
        <v>545</v>
      </c>
      <c r="X681" s="3"/>
      <c r="Y681"/>
    </row>
    <row r="682" spans="1:25" hidden="1" x14ac:dyDescent="0.25">
      <c r="A682" s="10">
        <v>189</v>
      </c>
      <c r="B682" s="1">
        <f>IFERROR(VLOOKUP(ТабПозиции[[#This Row],[orderNum]],ТабЗаказы[#Data],MATCH(B$7,ТабЗаказы[#Headers],0),0),"")</f>
        <v>45498</v>
      </c>
      <c r="C682" t="str">
        <f>MONTH(ТабПозиции[[#This Row],[date]])&amp;"/"&amp;YEAR(ТабПозиции[[#This Row],[date]])</f>
        <v>7/2024</v>
      </c>
      <c r="D682" s="1" t="str">
        <f>IFERROR(VLOOKUP(ТабПозиции[[#This Row],[orderNum]],ТабЗаказы[#Data],MATCH(D$7,ТабЗаказы[#Headers],0),0),"")</f>
        <v/>
      </c>
      <c r="E682" s="1" t="str">
        <f>IFERROR(VLOOKUP(ТабПозиции[[#This Row],[orderNum]],ТабЗаказы[#Data],MATCH(E$7,ТабЗаказы[#Headers],0),0),"")</f>
        <v/>
      </c>
      <c r="F682" s="16" t="s">
        <v>815</v>
      </c>
      <c r="G682" s="40" t="s">
        <v>545</v>
      </c>
      <c r="I682" s="18">
        <v>45502</v>
      </c>
      <c r="J682" s="10">
        <v>1</v>
      </c>
      <c r="K682" s="10">
        <v>13491</v>
      </c>
      <c r="L682">
        <v>13491</v>
      </c>
      <c r="M682" s="10">
        <v>13491</v>
      </c>
      <c r="N682">
        <f t="shared" si="12"/>
        <v>13491</v>
      </c>
      <c r="P6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Row],[orderNum]],ТабПозиции[orderSumm])&gt;1500),ABS(N682*VLOOKUP(ТабПозиции[[#This Row],[orderNum]],ТабЗаказы[#Data],MATCH("Percent",ТабЗаказы[#Headers],0),0))/100,200/COUNTIF(ТабПозиции[orderNum],ТабПозиции[[#This Row],[orderNum]])),0),"")</f>
        <v>1349</v>
      </c>
      <c r="Q682">
        <f>IF(OR(ТабПозиции[[#This Row],[item]]="По штрихкоду",ТабПозиции[[#This Row],[item]]="Посылка"),ТабПозиции[[#This Row],[deliverySumm]]+ТабПозиции[[#This Row],[deliveryPost]],SUM(N682:P682))</f>
        <v>14840</v>
      </c>
      <c r="R682" s="41">
        <v>14840</v>
      </c>
      <c r="S682" s="46">
        <f>ТабПозиции[[#This Row],[totalSumm]]-ТабПозиции[[#This Row],[payment]]</f>
        <v>0</v>
      </c>
      <c r="T682" s="18" t="s">
        <v>1005</v>
      </c>
      <c r="U682" s="40" t="s">
        <v>545</v>
      </c>
      <c r="V682" s="40" t="s">
        <v>545</v>
      </c>
      <c r="W682" s="40" t="s">
        <v>545</v>
      </c>
      <c r="X682" s="3"/>
      <c r="Y682"/>
    </row>
    <row r="683" spans="1:25" hidden="1" x14ac:dyDescent="0.25">
      <c r="A683" s="10">
        <v>189</v>
      </c>
      <c r="B683" s="1">
        <f>IFERROR(VLOOKUP(ТабПозиции[[#This Row],[orderNum]],ТабЗаказы[#Data],MATCH(B$7,ТабЗаказы[#Headers],0),0),"")</f>
        <v>45498</v>
      </c>
      <c r="C683" t="str">
        <f>MONTH(ТабПозиции[[#This Row],[date]])&amp;"/"&amp;YEAR(ТабПозиции[[#This Row],[date]])</f>
        <v>7/2024</v>
      </c>
      <c r="D683" s="1" t="str">
        <f>IFERROR(VLOOKUP(ТабПозиции[[#This Row],[orderNum]],ТабЗаказы[#Data],MATCH(D$7,ТабЗаказы[#Headers],0),0),"")</f>
        <v/>
      </c>
      <c r="E683" s="1" t="str">
        <f>IFERROR(VLOOKUP(ТабПозиции[[#This Row],[orderNum]],ТабЗаказы[#Data],MATCH(E$7,ТабЗаказы[#Headers],0),0),"")</f>
        <v/>
      </c>
      <c r="F683" s="16" t="s">
        <v>844</v>
      </c>
      <c r="G683" s="40" t="s">
        <v>545</v>
      </c>
      <c r="I683" s="18">
        <v>45502</v>
      </c>
      <c r="J683" s="10">
        <v>1</v>
      </c>
      <c r="K683" s="10">
        <v>339</v>
      </c>
      <c r="L683">
        <v>339</v>
      </c>
      <c r="M683" s="10">
        <v>357</v>
      </c>
      <c r="N683">
        <f t="shared" si="12"/>
        <v>357</v>
      </c>
      <c r="P6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Row],[orderNum]],ТабПозиции[orderSumm])&gt;1500),ABS(N683*VLOOKUP(ТабПозиции[[#This Row],[orderNum]],ТабЗаказы[#Data],MATCH("Percent",ТабЗаказы[#Headers],0),0))/100,200/COUNTIF(ТабПозиции[orderNum],ТабПозиции[[#This Row],[orderNum]])),0),"")</f>
        <v>36</v>
      </c>
      <c r="Q683">
        <f>IF(OR(ТабПозиции[[#This Row],[item]]="По штрихкоду",ТабПозиции[[#This Row],[item]]="Посылка"),ТабПозиции[[#This Row],[deliverySumm]]+ТабПозиции[[#This Row],[deliveryPost]],SUM(N683:P683))</f>
        <v>393</v>
      </c>
      <c r="R683" s="41">
        <v>393</v>
      </c>
      <c r="S683" s="46">
        <f>ТабПозиции[[#This Row],[totalSumm]]-ТабПозиции[[#This Row],[payment]]</f>
        <v>0</v>
      </c>
      <c r="T683" s="18" t="s">
        <v>970</v>
      </c>
      <c r="U683" s="40" t="s">
        <v>545</v>
      </c>
      <c r="V683" s="40" t="s">
        <v>545</v>
      </c>
      <c r="W683" s="40" t="s">
        <v>545</v>
      </c>
      <c r="X683" s="3"/>
      <c r="Y683"/>
    </row>
    <row r="684" spans="1:25" hidden="1" x14ac:dyDescent="0.25">
      <c r="A684" s="10">
        <v>189</v>
      </c>
      <c r="B684" s="1">
        <f>IFERROR(VLOOKUP(ТабПозиции[[#This Row],[orderNum]],ТабЗаказы[#Data],MATCH(B$7,ТабЗаказы[#Headers],0),0),"")</f>
        <v>45498</v>
      </c>
      <c r="C684" t="str">
        <f>MONTH(ТабПозиции[[#This Row],[date]])&amp;"/"&amp;YEAR(ТабПозиции[[#This Row],[date]])</f>
        <v>7/2024</v>
      </c>
      <c r="D684" s="1" t="str">
        <f>IFERROR(VLOOKUP(ТабПозиции[[#This Row],[orderNum]],ТабЗаказы[#Data],MATCH(D$7,ТабЗаказы[#Headers],0),0),"")</f>
        <v/>
      </c>
      <c r="E684" s="1" t="str">
        <f>IFERROR(VLOOKUP(ТабПозиции[[#This Row],[orderNum]],ТабЗаказы[#Data],MATCH(E$7,ТабЗаказы[#Headers],0),0),"")</f>
        <v/>
      </c>
      <c r="F684" s="16" t="s">
        <v>1058</v>
      </c>
      <c r="G684" s="40" t="s">
        <v>545</v>
      </c>
      <c r="I684" s="18">
        <v>45522</v>
      </c>
      <c r="J684" s="10">
        <v>1</v>
      </c>
      <c r="K684" s="10">
        <v>843</v>
      </c>
      <c r="L684">
        <v>843</v>
      </c>
      <c r="M684" s="10">
        <v>856</v>
      </c>
      <c r="N684">
        <f t="shared" si="12"/>
        <v>856</v>
      </c>
      <c r="P6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Row],[orderNum]],ТабПозиции[orderSumm])&gt;1500),ABS(N684*VLOOKUP(ТабПозиции[[#This Row],[orderNum]],ТабЗаказы[#Data],MATCH("Percent",ТабЗаказы[#Headers],0),0))/100,200/COUNTIF(ТабПозиции[orderNum],ТабПозиции[[#This Row],[orderNum]])),0),"")</f>
        <v>86</v>
      </c>
      <c r="Q684">
        <f>IF(OR(ТабПозиции[[#This Row],[item]]="По штрихкоду",ТабПозиции[[#This Row],[item]]="Посылка"),ТабПозиции[[#This Row],[deliverySumm]]+ТабПозиции[[#This Row],[deliveryPost]],SUM(N684:P684))</f>
        <v>942</v>
      </c>
      <c r="R684" s="41">
        <v>942</v>
      </c>
      <c r="S684" s="46">
        <f>ТабПозиции[[#This Row],[totalSumm]]-ТабПозиции[[#This Row],[payment]]</f>
        <v>0</v>
      </c>
      <c r="T684" s="18" t="s">
        <v>960</v>
      </c>
      <c r="U684" s="40" t="s">
        <v>545</v>
      </c>
      <c r="V684" s="40" t="s">
        <v>545</v>
      </c>
      <c r="W684" s="40" t="s">
        <v>545</v>
      </c>
      <c r="X684" s="3"/>
      <c r="Y684"/>
    </row>
    <row r="685" spans="1:25" hidden="1" x14ac:dyDescent="0.25">
      <c r="A685" s="10">
        <v>190</v>
      </c>
      <c r="B685" s="1">
        <f>IFERROR(VLOOKUP(ТабПозиции[[#This Row],[orderNum]],ТабЗаказы[#Data],MATCH(B$7,ТабЗаказы[#Headers],0),0),"")</f>
        <v>45500</v>
      </c>
      <c r="C685" t="str">
        <f>MONTH(ТабПозиции[[#This Row],[date]])&amp;"/"&amp;YEAR(ТабПозиции[[#This Row],[date]])</f>
        <v>7/2024</v>
      </c>
      <c r="D685" s="1" t="str">
        <f>IFERROR(VLOOKUP(ТабПозиции[[#This Row],[orderNum]],ТабЗаказы[#Data],MATCH(D$7,ТабЗаказы[#Headers],0),0),"")</f>
        <v/>
      </c>
      <c r="E685" s="1" t="str">
        <f>IFERROR(VLOOKUP(ТабПозиции[[#This Row],[orderNum]],ТабЗаказы[#Data],MATCH(E$7,ТабЗаказы[#Headers],0),0),"")</f>
        <v/>
      </c>
      <c r="F685" s="16" t="s">
        <v>1169</v>
      </c>
      <c r="G685" s="40" t="s">
        <v>545</v>
      </c>
      <c r="I685" s="18">
        <v>45504</v>
      </c>
      <c r="J685" s="10">
        <v>1</v>
      </c>
      <c r="K685" s="10">
        <v>549</v>
      </c>
      <c r="L685">
        <v>549</v>
      </c>
      <c r="M685" s="10">
        <v>572</v>
      </c>
      <c r="N685">
        <f t="shared" si="12"/>
        <v>572</v>
      </c>
      <c r="P6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Row],[orderNum]],ТабПозиции[orderSumm])&gt;1500),ABS(N685*VLOOKUP(ТабПозиции[[#This Row],[orderNum]],ТабЗаказы[#Data],MATCH("Percent",ТабЗаказы[#Headers],0),0))/100,200/COUNTIF(ТабПозиции[orderNum],ТабПозиции[[#This Row],[orderNum]])),0),"")</f>
        <v>86</v>
      </c>
      <c r="Q685">
        <f>IF(OR(ТабПозиции[[#This Row],[item]]="По штрихкоду",ТабПозиции[[#This Row],[item]]="Посылка"),ТабПозиции[[#This Row],[deliverySumm]]+ТабПозиции[[#This Row],[deliveryPost]],SUM(N685:P685))</f>
        <v>658</v>
      </c>
      <c r="R685" s="41">
        <v>658</v>
      </c>
      <c r="S685" s="46">
        <f>ТабПозиции[[#This Row],[totalSumm]]-ТабПозиции[[#This Row],[payment]]</f>
        <v>0</v>
      </c>
      <c r="T685" s="18" t="s">
        <v>960</v>
      </c>
      <c r="U685" s="40" t="s">
        <v>545</v>
      </c>
      <c r="V685" s="40" t="s">
        <v>545</v>
      </c>
      <c r="W685" s="40" t="s">
        <v>545</v>
      </c>
      <c r="X685" s="3"/>
      <c r="Y685"/>
    </row>
    <row r="686" spans="1:25" hidden="1" x14ac:dyDescent="0.25">
      <c r="A686" s="10">
        <v>190</v>
      </c>
      <c r="B686" s="1">
        <f>IFERROR(VLOOKUP(ТабПозиции[[#This Row],[orderNum]],ТабЗаказы[#Data],MATCH(B$7,ТабЗаказы[#Headers],0),0),"")</f>
        <v>45500</v>
      </c>
      <c r="C686" t="str">
        <f>MONTH(ТабПозиции[[#This Row],[date]])&amp;"/"&amp;YEAR(ТабПозиции[[#This Row],[date]])</f>
        <v>7/2024</v>
      </c>
      <c r="D686" s="1" t="str">
        <f>IFERROR(VLOOKUP(ТабПозиции[[#This Row],[orderNum]],ТабЗаказы[#Data],MATCH(D$7,ТабЗаказы[#Headers],0),0),"")</f>
        <v/>
      </c>
      <c r="E686" s="1" t="str">
        <f>IFERROR(VLOOKUP(ТабПозиции[[#This Row],[orderNum]],ТабЗаказы[#Data],MATCH(E$7,ТабЗаказы[#Headers],0),0),"")</f>
        <v/>
      </c>
      <c r="F686" s="16" t="s">
        <v>1170</v>
      </c>
      <c r="G686" s="40" t="s">
        <v>545</v>
      </c>
      <c r="I686" s="18">
        <v>45501</v>
      </c>
      <c r="J686" s="10">
        <v>1</v>
      </c>
      <c r="K686" s="10">
        <v>481</v>
      </c>
      <c r="L686">
        <v>481</v>
      </c>
      <c r="M686" s="10">
        <v>516</v>
      </c>
      <c r="N686">
        <f t="shared" si="12"/>
        <v>516</v>
      </c>
      <c r="P6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Row],[orderNum]],ТабПозиции[orderSumm])&gt;1500),ABS(N686*VLOOKUP(ТабПозиции[[#This Row],[orderNum]],ТабЗаказы[#Data],MATCH("Percent",ТабЗаказы[#Headers],0),0))/100,200/COUNTIF(ТабПозиции[orderNum],ТабПозиции[[#This Row],[orderNum]])),0),"")</f>
        <v>77</v>
      </c>
      <c r="Q686">
        <f>IF(OR(ТабПозиции[[#This Row],[item]]="По штрихкоду",ТабПозиции[[#This Row],[item]]="Посылка"),ТабПозиции[[#This Row],[deliverySumm]]+ТабПозиции[[#This Row],[deliveryPost]],SUM(N686:P686))</f>
        <v>593</v>
      </c>
      <c r="R686" s="41">
        <v>593</v>
      </c>
      <c r="S686" s="46">
        <f>ТабПозиции[[#This Row],[totalSumm]]-ТабПозиции[[#This Row],[payment]]</f>
        <v>0</v>
      </c>
      <c r="T686" s="18" t="s">
        <v>960</v>
      </c>
      <c r="U686" s="40" t="s">
        <v>545</v>
      </c>
      <c r="V686" s="40" t="s">
        <v>545</v>
      </c>
      <c r="W686" s="40" t="s">
        <v>545</v>
      </c>
      <c r="X686" s="3"/>
      <c r="Y686"/>
    </row>
    <row r="687" spans="1:25" hidden="1" x14ac:dyDescent="0.25">
      <c r="A687" s="10">
        <v>190</v>
      </c>
      <c r="B687" s="1">
        <f>IFERROR(VLOOKUP(ТабПозиции[[#This Row],[orderNum]],ТабЗаказы[#Data],MATCH(B$7,ТабЗаказы[#Headers],0),0),"")</f>
        <v>45500</v>
      </c>
      <c r="C687" t="str">
        <f>MONTH(ТабПозиции[[#This Row],[date]])&amp;"/"&amp;YEAR(ТабПозиции[[#This Row],[date]])</f>
        <v>7/2024</v>
      </c>
      <c r="D687" s="1" t="str">
        <f>IFERROR(VLOOKUP(ТабПозиции[[#This Row],[orderNum]],ТабЗаказы[#Data],MATCH(D$7,ТабЗаказы[#Headers],0),0),"")</f>
        <v/>
      </c>
      <c r="E687" s="1" t="str">
        <f>IFERROR(VLOOKUP(ТабПозиции[[#This Row],[orderNum]],ТабЗаказы[#Data],MATCH(E$7,ТабЗаказы[#Headers],0),0),"")</f>
        <v/>
      </c>
      <c r="F687" s="16" t="s">
        <v>1171</v>
      </c>
      <c r="G687" s="40" t="s">
        <v>545</v>
      </c>
      <c r="I687" s="18">
        <v>45501</v>
      </c>
      <c r="J687" s="10">
        <v>1</v>
      </c>
      <c r="K687" s="10">
        <v>637</v>
      </c>
      <c r="L687">
        <v>637</v>
      </c>
      <c r="M687" s="10">
        <v>682</v>
      </c>
      <c r="N687">
        <f t="shared" si="12"/>
        <v>682</v>
      </c>
      <c r="P6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Row],[orderNum]],ТабПозиции[orderSumm])&gt;1500),ABS(N687*VLOOKUP(ТабПозиции[[#This Row],[orderNum]],ТабЗаказы[#Data],MATCH("Percent",ТабЗаказы[#Headers],0),0))/100,200/COUNTIF(ТабПозиции[orderNum],ТабПозиции[[#This Row],[orderNum]])),0),"")</f>
        <v>102</v>
      </c>
      <c r="Q687">
        <f>IF(OR(ТабПозиции[[#This Row],[item]]="По штрихкоду",ТабПозиции[[#This Row],[item]]="Посылка"),ТабПозиции[[#This Row],[deliverySumm]]+ТабПозиции[[#This Row],[deliveryPost]],SUM(N687:P687))</f>
        <v>784</v>
      </c>
      <c r="R687" s="41">
        <v>784</v>
      </c>
      <c r="S687" s="46">
        <f>ТабПозиции[[#This Row],[totalSumm]]-ТабПозиции[[#This Row],[payment]]</f>
        <v>0</v>
      </c>
      <c r="T687" s="18" t="s">
        <v>960</v>
      </c>
      <c r="U687" s="40" t="s">
        <v>545</v>
      </c>
      <c r="V687" s="40" t="s">
        <v>545</v>
      </c>
      <c r="W687" s="40" t="s">
        <v>545</v>
      </c>
      <c r="X687" s="3"/>
      <c r="Y687"/>
    </row>
    <row r="688" spans="1:25" hidden="1" x14ac:dyDescent="0.25">
      <c r="A688" s="10">
        <v>204</v>
      </c>
      <c r="B688" s="1">
        <f>IFERROR(VLOOKUP(ТабПозиции[[#This Row],[orderNum]],ТабЗаказы[#Data],MATCH(B$7,ТабЗаказы[#Headers],0),0),"")</f>
        <v>45514</v>
      </c>
      <c r="C688" t="str">
        <f>MONTH(ТабПозиции[[#This Row],[date]])&amp;"/"&amp;YEAR(ТабПозиции[[#This Row],[date]])</f>
        <v>8/2024</v>
      </c>
      <c r="D688" s="1" t="str">
        <f>IFERROR(VLOOKUP(ТабПозиции[[#This Row],[orderNum]],ТабЗаказы[#Data],MATCH(D$7,ТабЗаказы[#Headers],0),0),"")</f>
        <v/>
      </c>
      <c r="E688" s="1" t="str">
        <f>IFERROR(VLOOKUP(ТабПозиции[[#This Row],[orderNum]],ТабЗаказы[#Data],MATCH(E$7,ТабЗаказы[#Headers],0),0),"")</f>
        <v/>
      </c>
      <c r="F688" s="10" t="s">
        <v>820</v>
      </c>
      <c r="G688" s="40" t="s">
        <v>545</v>
      </c>
      <c r="H688" s="12" t="s">
        <v>1172</v>
      </c>
      <c r="I688" s="18">
        <v>45513</v>
      </c>
      <c r="J688" s="10">
        <v>1</v>
      </c>
      <c r="K688" s="10">
        <v>3200</v>
      </c>
      <c r="L688">
        <v>3200</v>
      </c>
      <c r="M688" s="10">
        <v>3200</v>
      </c>
      <c r="N688">
        <f t="shared" si="12"/>
        <v>3200</v>
      </c>
      <c r="P6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Row],[orderNum]],ТабПозиции[orderSumm])&gt;1500),ABS(N688*VLOOKUP(ТабПозиции[[#This Row],[orderNum]],ТабЗаказы[#Data],MATCH("Percent",ТабЗаказы[#Headers],0),0))/100,200/COUNTIF(ТабПозиции[orderNum],ТабПозиции[[#This Row],[orderNum]])),0),"")</f>
        <v>320</v>
      </c>
      <c r="Q688">
        <f>IF(OR(ТабПозиции[[#This Row],[item]]="По штрихкоду",ТабПозиции[[#This Row],[item]]="Посылка"),ТабПозиции[[#This Row],[deliverySumm]]+ТабПозиции[[#This Row],[deliveryPost]],SUM(N688:P688))</f>
        <v>320</v>
      </c>
      <c r="R688" s="41">
        <v>320</v>
      </c>
      <c r="S688" s="46">
        <f>ТабПозиции[[#This Row],[totalSumm]]-ТабПозиции[[#This Row],[payment]]</f>
        <v>0</v>
      </c>
      <c r="T688" s="18" t="s">
        <v>1067</v>
      </c>
      <c r="U688" s="40" t="s">
        <v>545</v>
      </c>
      <c r="V688" s="40" t="s">
        <v>545</v>
      </c>
      <c r="W688" s="40" t="s">
        <v>545</v>
      </c>
      <c r="X688" s="3"/>
      <c r="Y688"/>
    </row>
    <row r="689" spans="1:25" hidden="1" x14ac:dyDescent="0.25">
      <c r="A689" s="10">
        <v>204</v>
      </c>
      <c r="B689" s="1">
        <f>IFERROR(VLOOKUP(ТабПозиции[[#This Row],[orderNum]],ТабЗаказы[#Data],MATCH(B$7,ТабЗаказы[#Headers],0),0),"")</f>
        <v>45514</v>
      </c>
      <c r="C689" t="str">
        <f>MONTH(ТабПозиции[[#This Row],[date]])&amp;"/"&amp;YEAR(ТабПозиции[[#This Row],[date]])</f>
        <v>8/2024</v>
      </c>
      <c r="D689" s="1" t="str">
        <f>IFERROR(VLOOKUP(ТабПозиции[[#This Row],[orderNum]],ТабЗаказы[#Data],MATCH(D$7,ТабЗаказы[#Headers],0),0),"")</f>
        <v/>
      </c>
      <c r="E689" s="1" t="str">
        <f>IFERROR(VLOOKUP(ТабПозиции[[#This Row],[orderNum]],ТабЗаказы[#Data],MATCH(E$7,ТабЗаказы[#Headers],0),0),"")</f>
        <v/>
      </c>
      <c r="F689" s="10" t="s">
        <v>820</v>
      </c>
      <c r="G689" s="40" t="s">
        <v>545</v>
      </c>
      <c r="H689" s="12" t="s">
        <v>1173</v>
      </c>
      <c r="I689" s="18">
        <v>45502</v>
      </c>
      <c r="J689" s="10">
        <v>1</v>
      </c>
      <c r="K689" s="10">
        <v>1100</v>
      </c>
      <c r="L689">
        <v>1100</v>
      </c>
      <c r="M689" s="10">
        <v>1100</v>
      </c>
      <c r="N689">
        <f t="shared" si="12"/>
        <v>1100</v>
      </c>
      <c r="P6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Row],[orderNum]],ТабПозиции[orderSumm])&gt;1500),ABS(N689*VLOOKUP(ТабПозиции[[#This Row],[orderNum]],ТабЗаказы[#Data],MATCH("Percent",ТабЗаказы[#Headers],0),0))/100,200/COUNTIF(ТабПозиции[orderNum],ТабПозиции[[#This Row],[orderNum]])),0),"")</f>
        <v>110</v>
      </c>
      <c r="Q689">
        <f>IF(OR(ТабПозиции[[#This Row],[item]]="По штрихкоду",ТабПозиции[[#This Row],[item]]="Посылка"),ТабПозиции[[#This Row],[deliverySumm]]+ТабПозиции[[#This Row],[deliveryPost]],SUM(N689:P689))</f>
        <v>110</v>
      </c>
      <c r="R689" s="41">
        <v>110</v>
      </c>
      <c r="S689" s="46">
        <f>ТабПозиции[[#This Row],[totalSumm]]-ТабПозиции[[#This Row],[payment]]</f>
        <v>0</v>
      </c>
      <c r="T689" s="18" t="s">
        <v>1067</v>
      </c>
      <c r="U689" s="40" t="s">
        <v>545</v>
      </c>
      <c r="V689" s="40" t="s">
        <v>545</v>
      </c>
      <c r="W689" s="40" t="s">
        <v>545</v>
      </c>
      <c r="X689" s="3"/>
      <c r="Y689"/>
    </row>
    <row r="690" spans="1:25" hidden="1" x14ac:dyDescent="0.25">
      <c r="A690" s="10">
        <v>204</v>
      </c>
      <c r="B690" s="1">
        <f>IFERROR(VLOOKUP(ТабПозиции[[#This Row],[orderNum]],ТабЗаказы[#Data],MATCH(B$7,ТабЗаказы[#Headers],0),0),"")</f>
        <v>45514</v>
      </c>
      <c r="C690" t="str">
        <f>MONTH(ТабПозиции[[#This Row],[date]])&amp;"/"&amp;YEAR(ТабПозиции[[#This Row],[date]])</f>
        <v>8/2024</v>
      </c>
      <c r="D690" s="1" t="str">
        <f>IFERROR(VLOOKUP(ТабПозиции[[#This Row],[orderNum]],ТабЗаказы[#Data],MATCH(D$7,ТабЗаказы[#Headers],0),0),"")</f>
        <v/>
      </c>
      <c r="E690" s="1" t="str">
        <f>IFERROR(VLOOKUP(ТабПозиции[[#This Row],[orderNum]],ТабЗаказы[#Data],MATCH(E$7,ТабЗаказы[#Headers],0),0),"")</f>
        <v/>
      </c>
      <c r="F690" s="10" t="s">
        <v>820</v>
      </c>
      <c r="G690" s="40" t="s">
        <v>545</v>
      </c>
      <c r="H690" s="12" t="s">
        <v>1174</v>
      </c>
      <c r="I690" s="18">
        <v>45506</v>
      </c>
      <c r="J690" s="10">
        <v>1</v>
      </c>
      <c r="K690" s="10">
        <v>5900</v>
      </c>
      <c r="L690">
        <v>5900</v>
      </c>
      <c r="M690" s="10">
        <v>5900</v>
      </c>
      <c r="N690">
        <f t="shared" si="12"/>
        <v>5900</v>
      </c>
      <c r="P6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Row],[orderNum]],ТабПозиции[orderSumm])&gt;1500),ABS(N690*VLOOKUP(ТабПозиции[[#This Row],[orderNum]],ТабЗаказы[#Data],MATCH("Percent",ТабЗаказы[#Headers],0),0))/100,200/COUNTIF(ТабПозиции[orderNum],ТабПозиции[[#This Row],[orderNum]])),0),"")</f>
        <v>590</v>
      </c>
      <c r="Q690">
        <f>IF(OR(ТабПозиции[[#This Row],[item]]="По штрихкоду",ТабПозиции[[#This Row],[item]]="Посылка"),ТабПозиции[[#This Row],[deliverySumm]]+ТабПозиции[[#This Row],[deliveryPost]],SUM(N690:P690))</f>
        <v>590</v>
      </c>
      <c r="R690" s="41">
        <v>590</v>
      </c>
      <c r="S690" s="46">
        <f>ТабПозиции[[#This Row],[totalSumm]]-ТабПозиции[[#This Row],[payment]]</f>
        <v>0</v>
      </c>
      <c r="T690" s="18" t="s">
        <v>1067</v>
      </c>
      <c r="U690" s="40" t="s">
        <v>545</v>
      </c>
      <c r="V690" s="40" t="s">
        <v>545</v>
      </c>
      <c r="W690" s="40" t="s">
        <v>545</v>
      </c>
      <c r="X690" s="3"/>
      <c r="Y690"/>
    </row>
    <row r="691" spans="1:25" hidden="1" x14ac:dyDescent="0.25">
      <c r="A691" s="10">
        <v>192</v>
      </c>
      <c r="B691" s="1">
        <f>IFERROR(VLOOKUP(ТабПозиции[[#This Row],[orderNum]],ТабЗаказы[#Data],MATCH(B$7,ТабЗаказы[#Headers],0),0),"")</f>
        <v>45502</v>
      </c>
      <c r="C691" t="str">
        <f>MONTH(ТабПозиции[[#This Row],[date]])&amp;"/"&amp;YEAR(ТабПозиции[[#This Row],[date]])</f>
        <v>7/2024</v>
      </c>
      <c r="D691" s="1" t="str">
        <f>IFERROR(VLOOKUP(ТабПозиции[[#This Row],[orderNum]],ТабЗаказы[#Data],MATCH(D$7,ТабЗаказы[#Headers],0),0),"")</f>
        <v/>
      </c>
      <c r="E691" s="1" t="str">
        <f>IFERROR(VLOOKUP(ТабПозиции[[#This Row],[orderNum]],ТабЗаказы[#Data],MATCH(E$7,ТабЗаказы[#Headers],0),0),"")</f>
        <v/>
      </c>
      <c r="F691" s="16" t="s">
        <v>1175</v>
      </c>
      <c r="G691" s="40" t="s">
        <v>545</v>
      </c>
      <c r="I691" s="18">
        <v>45506</v>
      </c>
      <c r="J691" s="10">
        <v>1</v>
      </c>
      <c r="K691" s="10">
        <v>2181</v>
      </c>
      <c r="L691">
        <v>2181</v>
      </c>
      <c r="M691" s="10">
        <v>2331</v>
      </c>
      <c r="N691">
        <f t="shared" si="12"/>
        <v>2331</v>
      </c>
      <c r="P6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Row],[orderNum]],ТабПозиции[orderSumm])&gt;1500),ABS(N691*VLOOKUP(ТабПозиции[[#This Row],[orderNum]],ТабЗаказы[#Data],MATCH("Percent",ТабЗаказы[#Headers],0),0))/100,200/COUNTIF(ТабПозиции[orderNum],ТабПозиции[[#This Row],[orderNum]])),0),"")</f>
        <v>350</v>
      </c>
      <c r="Q691">
        <f>IF(OR(ТабПозиции[[#This Row],[item]]="По штрихкоду",ТабПозиции[[#This Row],[item]]="Посылка"),ТабПозиции[[#This Row],[deliverySumm]]+ТабПозиции[[#This Row],[deliveryPost]],SUM(N691:P691))</f>
        <v>2681</v>
      </c>
      <c r="R691" s="41">
        <v>2681</v>
      </c>
      <c r="S691" s="46">
        <f>ТабПозиции[[#This Row],[totalSumm]]-ТабПозиции[[#This Row],[payment]]</f>
        <v>0</v>
      </c>
      <c r="T691" s="18" t="s">
        <v>960</v>
      </c>
      <c r="U691" s="40" t="s">
        <v>545</v>
      </c>
      <c r="V691" s="40" t="s">
        <v>545</v>
      </c>
      <c r="W691" s="40" t="s">
        <v>545</v>
      </c>
      <c r="X691" s="3"/>
      <c r="Y691"/>
    </row>
    <row r="692" spans="1:25" hidden="1" x14ac:dyDescent="0.25">
      <c r="A692" s="10">
        <v>192</v>
      </c>
      <c r="B692" s="1">
        <f>IFERROR(VLOOKUP(ТабПозиции[[#This Row],[orderNum]],ТабЗаказы[#Data],MATCH(B$7,ТабЗаказы[#Headers],0),0),"")</f>
        <v>45502</v>
      </c>
      <c r="C692" t="str">
        <f>MONTH(ТабПозиции[[#This Row],[date]])&amp;"/"&amp;YEAR(ТабПозиции[[#This Row],[date]])</f>
        <v>7/2024</v>
      </c>
      <c r="D692" s="1" t="str">
        <f>IFERROR(VLOOKUP(ТабПозиции[[#This Row],[orderNum]],ТабЗаказы[#Data],MATCH(D$7,ТабЗаказы[#Headers],0),0),"")</f>
        <v/>
      </c>
      <c r="E692" s="1" t="str">
        <f>IFERROR(VLOOKUP(ТабПозиции[[#This Row],[orderNum]],ТабЗаказы[#Data],MATCH(E$7,ТабЗаказы[#Headers],0),0),"")</f>
        <v/>
      </c>
      <c r="F692" s="16" t="s">
        <v>1176</v>
      </c>
      <c r="G692" s="40" t="s">
        <v>545</v>
      </c>
      <c r="I692" s="18">
        <v>45525</v>
      </c>
      <c r="J692" s="10">
        <v>0</v>
      </c>
      <c r="K692" s="10">
        <v>3378</v>
      </c>
      <c r="L692">
        <v>0</v>
      </c>
      <c r="M692" s="10">
        <v>3712</v>
      </c>
      <c r="N692">
        <f t="shared" si="12"/>
        <v>0</v>
      </c>
      <c r="P6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Row],[orderNum]],ТабПозиции[orderSumm])&gt;1500),ABS(N692*VLOOKUP(ТабПозиции[[#This Row],[orderNum]],ТабЗаказы[#Data],MATCH("Percent",ТабЗаказы[#Headers],0),0))/100,200/COUNTIF(ТабПозиции[orderNum],ТабПозиции[[#This Row],[orderNum]])),0),"")</f>
        <v>0</v>
      </c>
      <c r="Q692">
        <f>IF(OR(ТабПозиции[[#This Row],[item]]="По штрихкоду",ТабПозиции[[#This Row],[item]]="Посылка"),ТабПозиции[[#This Row],[deliverySumm]]+ТабПозиции[[#This Row],[deliveryPost]],SUM(N692:P692))</f>
        <v>0</v>
      </c>
      <c r="S692" s="46">
        <f>ТабПозиции[[#This Row],[totalSumm]]-ТабПозиции[[#This Row],[payment]]</f>
        <v>0</v>
      </c>
      <c r="T692" s="18" t="s">
        <v>960</v>
      </c>
      <c r="U692" s="40" t="s">
        <v>545</v>
      </c>
      <c r="V692" s="40" t="s">
        <v>545</v>
      </c>
      <c r="W692" s="40" t="s">
        <v>545</v>
      </c>
      <c r="X692" s="3"/>
      <c r="Y692"/>
    </row>
    <row r="693" spans="1:25" hidden="1" x14ac:dyDescent="0.25">
      <c r="A693" s="10">
        <v>193</v>
      </c>
      <c r="B693" s="1">
        <f>IFERROR(VLOOKUP(ТабПозиции[[#This Row],[orderNum]],ТабЗаказы[#Data],MATCH(B$7,ТабЗаказы[#Headers],0),0),"")</f>
        <v>45502</v>
      </c>
      <c r="C693" t="str">
        <f>MONTH(ТабПозиции[[#This Row],[date]])&amp;"/"&amp;YEAR(ТабПозиции[[#This Row],[date]])</f>
        <v>7/2024</v>
      </c>
      <c r="D693" s="1" t="str">
        <f>IFERROR(VLOOKUP(ТабПозиции[[#This Row],[orderNum]],ТабЗаказы[#Data],MATCH(D$7,ТабЗаказы[#Headers],0),0),"")</f>
        <v/>
      </c>
      <c r="E693" s="1" t="str">
        <f>IFERROR(VLOOKUP(ТабПозиции[[#This Row],[orderNum]],ТабЗаказы[#Data],MATCH(E$7,ТабЗаказы[#Headers],0),0),"")</f>
        <v/>
      </c>
      <c r="F693" s="16" t="s">
        <v>1177</v>
      </c>
      <c r="G693" s="40" t="s">
        <v>545</v>
      </c>
      <c r="I693" s="18">
        <v>45504</v>
      </c>
      <c r="J693" s="10">
        <v>1</v>
      </c>
      <c r="K693" s="10">
        <v>599</v>
      </c>
      <c r="L693">
        <v>599</v>
      </c>
      <c r="M693" s="10">
        <v>612</v>
      </c>
      <c r="N693">
        <f t="shared" si="12"/>
        <v>612</v>
      </c>
      <c r="P6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Row],[orderNum]],ТабПозиции[orderSumm])&gt;1500),ABS(N693*VLOOKUP(ТабПозиции[[#This Row],[orderNum]],ТабЗаказы[#Data],MATCH("Percent",ТабЗаказы[#Headers],0),0))/100,200/COUNTIF(ТабПозиции[orderNum],ТабПозиции[[#This Row],[orderNum]])),0),"")</f>
        <v>92</v>
      </c>
      <c r="Q693">
        <f>IF(OR(ТабПозиции[[#This Row],[item]]="По штрихкоду",ТабПозиции[[#This Row],[item]]="Посылка"),ТабПозиции[[#This Row],[deliverySumm]]+ТабПозиции[[#This Row],[deliveryPost]],SUM(N693:P693))</f>
        <v>704</v>
      </c>
      <c r="R693" s="41">
        <v>704</v>
      </c>
      <c r="S693" s="46">
        <f>ТабПозиции[[#This Row],[totalSumm]]-ТабПозиции[[#This Row],[payment]]</f>
        <v>0</v>
      </c>
      <c r="T693" s="18" t="s">
        <v>970</v>
      </c>
      <c r="U693" s="40" t="s">
        <v>545</v>
      </c>
      <c r="V693" s="40" t="s">
        <v>545</v>
      </c>
      <c r="W693" s="40" t="s">
        <v>545</v>
      </c>
      <c r="X693" s="3"/>
      <c r="Y693"/>
    </row>
    <row r="694" spans="1:25" hidden="1" x14ac:dyDescent="0.25">
      <c r="A694" s="10">
        <v>193</v>
      </c>
      <c r="B694" s="1">
        <f>IFERROR(VLOOKUP(ТабПозиции[[#This Row],[orderNum]],ТабЗаказы[#Data],MATCH(B$7,ТабЗаказы[#Headers],0),0),"")</f>
        <v>45502</v>
      </c>
      <c r="C694" t="str">
        <f>MONTH(ТабПозиции[[#This Row],[date]])&amp;"/"&amp;YEAR(ТабПозиции[[#This Row],[date]])</f>
        <v>7/2024</v>
      </c>
      <c r="D694" s="1" t="str">
        <f>IFERROR(VLOOKUP(ТабПозиции[[#This Row],[orderNum]],ТабЗаказы[#Data],MATCH(D$7,ТабЗаказы[#Headers],0),0),"")</f>
        <v/>
      </c>
      <c r="E694" s="1" t="str">
        <f>IFERROR(VLOOKUP(ТабПозиции[[#This Row],[orderNum]],ТабЗаказы[#Data],MATCH(E$7,ТабЗаказы[#Headers],0),0),"")</f>
        <v/>
      </c>
      <c r="F694" s="16" t="s">
        <v>1178</v>
      </c>
      <c r="G694" s="40" t="s">
        <v>545</v>
      </c>
      <c r="I694" s="18">
        <v>45504</v>
      </c>
      <c r="J694" s="10">
        <v>1</v>
      </c>
      <c r="K694" s="10">
        <v>368</v>
      </c>
      <c r="L694">
        <v>368</v>
      </c>
      <c r="M694" s="10">
        <v>376</v>
      </c>
      <c r="N694">
        <f t="shared" si="12"/>
        <v>376</v>
      </c>
      <c r="P6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Row],[orderNum]],ТабПозиции[orderSumm])&gt;1500),ABS(N694*VLOOKUP(ТабПозиции[[#This Row],[orderNum]],ТабЗаказы[#Data],MATCH("Percent",ТабЗаказы[#Headers],0),0))/100,200/COUNTIF(ТабПозиции[orderNum],ТабПозиции[[#This Row],[orderNum]])),0),"")</f>
        <v>56</v>
      </c>
      <c r="Q694">
        <f>IF(OR(ТабПозиции[[#This Row],[item]]="По штрихкоду",ТабПозиции[[#This Row],[item]]="Посылка"),ТабПозиции[[#This Row],[deliverySumm]]+ТабПозиции[[#This Row],[deliveryPost]],SUM(N694:P694))</f>
        <v>432</v>
      </c>
      <c r="R694" s="41">
        <v>432</v>
      </c>
      <c r="S694" s="46">
        <f>ТабПозиции[[#This Row],[totalSumm]]-ТабПозиции[[#This Row],[payment]]</f>
        <v>0</v>
      </c>
      <c r="T694" s="18" t="s">
        <v>970</v>
      </c>
      <c r="U694" s="40" t="s">
        <v>545</v>
      </c>
      <c r="V694" s="40" t="s">
        <v>545</v>
      </c>
      <c r="W694" s="40" t="s">
        <v>545</v>
      </c>
      <c r="X694" s="3"/>
      <c r="Y694"/>
    </row>
    <row r="695" spans="1:25" hidden="1" x14ac:dyDescent="0.25">
      <c r="A695" s="10">
        <v>193</v>
      </c>
      <c r="B695" s="1">
        <f>IFERROR(VLOOKUP(ТабПозиции[[#This Row],[orderNum]],ТабЗаказы[#Data],MATCH(B$7,ТабЗаказы[#Headers],0),0),"")</f>
        <v>45502</v>
      </c>
      <c r="C695" t="str">
        <f>MONTH(ТабПозиции[[#This Row],[date]])&amp;"/"&amp;YEAR(ТабПозиции[[#This Row],[date]])</f>
        <v>7/2024</v>
      </c>
      <c r="D695" s="1" t="str">
        <f>IFERROR(VLOOKUP(ТабПозиции[[#This Row],[orderNum]],ТабЗаказы[#Data],MATCH(D$7,ТабЗаказы[#Headers],0),0),"")</f>
        <v/>
      </c>
      <c r="E695" s="1" t="str">
        <f>IFERROR(VLOOKUP(ТабПозиции[[#This Row],[orderNum]],ТабЗаказы[#Data],MATCH(E$7,ТабЗаказы[#Headers],0),0),"")</f>
        <v/>
      </c>
      <c r="F695" s="16" t="s">
        <v>679</v>
      </c>
      <c r="G695" s="40" t="s">
        <v>545</v>
      </c>
      <c r="I695" s="18">
        <v>45504</v>
      </c>
      <c r="J695" s="10">
        <v>1</v>
      </c>
      <c r="K695" s="10">
        <v>385</v>
      </c>
      <c r="L695">
        <v>385</v>
      </c>
      <c r="M695" s="10">
        <v>393</v>
      </c>
      <c r="N695">
        <f t="shared" si="12"/>
        <v>393</v>
      </c>
      <c r="P6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Row],[orderNum]],ТабПозиции[orderSumm])&gt;1500),ABS(N695*VLOOKUP(ТабПозиции[[#This Row],[orderNum]],ТабЗаказы[#Data],MATCH("Percent",ТабЗаказы[#Headers],0),0))/100,200/COUNTIF(ТабПозиции[orderNum],ТабПозиции[[#This Row],[orderNum]])),0),"")</f>
        <v>59</v>
      </c>
      <c r="Q695">
        <f>IF(OR(ТабПозиции[[#This Row],[item]]="По штрихкоду",ТабПозиции[[#This Row],[item]]="Посылка"),ТабПозиции[[#This Row],[deliverySumm]]+ТабПозиции[[#This Row],[deliveryPost]],SUM(N695:P695))</f>
        <v>452</v>
      </c>
      <c r="R695" s="41">
        <v>452</v>
      </c>
      <c r="S695" s="46">
        <f>ТабПозиции[[#This Row],[totalSumm]]-ТабПозиции[[#This Row],[payment]]</f>
        <v>0</v>
      </c>
      <c r="T695" s="18" t="s">
        <v>970</v>
      </c>
      <c r="U695" s="40" t="s">
        <v>545</v>
      </c>
      <c r="V695" s="40" t="s">
        <v>545</v>
      </c>
      <c r="W695" s="40" t="s">
        <v>545</v>
      </c>
      <c r="X695" s="3"/>
      <c r="Y695"/>
    </row>
    <row r="696" spans="1:25" hidden="1" x14ac:dyDescent="0.25">
      <c r="A696" s="10">
        <v>193</v>
      </c>
      <c r="B696" s="1">
        <f>IFERROR(VLOOKUP(ТабПозиции[[#This Row],[orderNum]],ТабЗаказы[#Data],MATCH(B$7,ТабЗаказы[#Headers],0),0),"")</f>
        <v>45502</v>
      </c>
      <c r="C696" t="str">
        <f>MONTH(ТабПозиции[[#This Row],[date]])&amp;"/"&amp;YEAR(ТабПозиции[[#This Row],[date]])</f>
        <v>7/2024</v>
      </c>
      <c r="D696" s="1" t="str">
        <f>IFERROR(VLOOKUP(ТабПозиции[[#This Row],[orderNum]],ТабЗаказы[#Data],MATCH(D$7,ТабЗаказы[#Headers],0),0),"")</f>
        <v/>
      </c>
      <c r="E696" s="1" t="str">
        <f>IFERROR(VLOOKUP(ТабПозиции[[#This Row],[orderNum]],ТабЗаказы[#Data],MATCH(E$7,ТабЗаказы[#Headers],0),0),"")</f>
        <v/>
      </c>
      <c r="F696" s="16" t="s">
        <v>1179</v>
      </c>
      <c r="G696" s="40" t="s">
        <v>545</v>
      </c>
      <c r="I696" s="18">
        <v>45504</v>
      </c>
      <c r="J696" s="10">
        <v>1</v>
      </c>
      <c r="K696" s="10">
        <v>433</v>
      </c>
      <c r="L696">
        <v>433</v>
      </c>
      <c r="M696" s="10">
        <v>442</v>
      </c>
      <c r="N696">
        <f t="shared" si="12"/>
        <v>442</v>
      </c>
      <c r="P6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Row],[orderNum]],ТабПозиции[orderSumm])&gt;1500),ABS(N696*VLOOKUP(ТабПозиции[[#This Row],[orderNum]],ТабЗаказы[#Data],MATCH("Percent",ТабЗаказы[#Headers],0),0))/100,200/COUNTIF(ТабПозиции[orderNum],ТабПозиции[[#This Row],[orderNum]])),0),"")</f>
        <v>66</v>
      </c>
      <c r="Q696">
        <f>IF(OR(ТабПозиции[[#This Row],[item]]="По штрихкоду",ТабПозиции[[#This Row],[item]]="Посылка"),ТабПозиции[[#This Row],[deliverySumm]]+ТабПозиции[[#This Row],[deliveryPost]],SUM(N696:P696))</f>
        <v>508</v>
      </c>
      <c r="R696" s="41">
        <v>508</v>
      </c>
      <c r="S696" s="46">
        <f>ТабПозиции[[#This Row],[totalSumm]]-ТабПозиции[[#This Row],[payment]]</f>
        <v>0</v>
      </c>
      <c r="T696" s="18" t="s">
        <v>970</v>
      </c>
      <c r="U696" s="40" t="s">
        <v>545</v>
      </c>
      <c r="V696" s="40" t="s">
        <v>545</v>
      </c>
      <c r="W696" s="40" t="s">
        <v>545</v>
      </c>
      <c r="X696" s="3"/>
      <c r="Y696"/>
    </row>
    <row r="697" spans="1:25" hidden="1" x14ac:dyDescent="0.25">
      <c r="A697" s="10">
        <v>193</v>
      </c>
      <c r="B697" s="1">
        <f>IFERROR(VLOOKUP(ТабПозиции[[#This Row],[orderNum]],ТабЗаказы[#Data],MATCH(B$7,ТабЗаказы[#Headers],0),0),"")</f>
        <v>45502</v>
      </c>
      <c r="C697" t="str">
        <f>MONTH(ТабПозиции[[#This Row],[date]])&amp;"/"&amp;YEAR(ТабПозиции[[#This Row],[date]])</f>
        <v>7/2024</v>
      </c>
      <c r="D697" s="1" t="str">
        <f>IFERROR(VLOOKUP(ТабПозиции[[#This Row],[orderNum]],ТабЗаказы[#Data],MATCH(D$7,ТабЗаказы[#Headers],0),0),"")</f>
        <v/>
      </c>
      <c r="E697" s="1" t="str">
        <f>IFERROR(VLOOKUP(ТабПозиции[[#This Row],[orderNum]],ТабЗаказы[#Data],MATCH(E$7,ТабЗаказы[#Headers],0),0),"")</f>
        <v/>
      </c>
      <c r="F697" s="16" t="s">
        <v>1180</v>
      </c>
      <c r="G697" s="40" t="s">
        <v>545</v>
      </c>
      <c r="I697" s="18">
        <v>45504</v>
      </c>
      <c r="J697" s="10">
        <v>1</v>
      </c>
      <c r="K697" s="10">
        <v>225</v>
      </c>
      <c r="L697">
        <v>225</v>
      </c>
      <c r="M697" s="10">
        <v>230</v>
      </c>
      <c r="N697">
        <f t="shared" si="12"/>
        <v>230</v>
      </c>
      <c r="P6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Row],[orderNum]],ТабПозиции[orderSumm])&gt;1500),ABS(N697*VLOOKUP(ТабПозиции[[#This Row],[orderNum]],ТабЗаказы[#Data],MATCH("Percent",ТабЗаказы[#Headers],0),0))/100,200/COUNTIF(ТабПозиции[orderNum],ТабПозиции[[#This Row],[orderNum]])),0),"")</f>
        <v>35</v>
      </c>
      <c r="Q697">
        <f>IF(OR(ТабПозиции[[#This Row],[item]]="По штрихкоду",ТабПозиции[[#This Row],[item]]="Посылка"),ТабПозиции[[#This Row],[deliverySumm]]+ТабПозиции[[#This Row],[deliveryPost]],SUM(N697:P697))</f>
        <v>265</v>
      </c>
      <c r="R697" s="41">
        <v>265</v>
      </c>
      <c r="S697" s="46">
        <f>ТабПозиции[[#This Row],[totalSumm]]-ТабПозиции[[#This Row],[payment]]</f>
        <v>0</v>
      </c>
      <c r="T697" s="18" t="s">
        <v>970</v>
      </c>
      <c r="U697" s="40" t="s">
        <v>545</v>
      </c>
      <c r="V697" s="40" t="s">
        <v>545</v>
      </c>
      <c r="W697" s="40" t="s">
        <v>545</v>
      </c>
      <c r="X697" s="3"/>
      <c r="Y697"/>
    </row>
    <row r="698" spans="1:25" hidden="1" x14ac:dyDescent="0.25">
      <c r="A698" s="10">
        <v>193</v>
      </c>
      <c r="B698" s="1">
        <f>IFERROR(VLOOKUP(ТабПозиции[[#This Row],[orderNum]],ТабЗаказы[#Data],MATCH(B$7,ТабЗаказы[#Headers],0),0),"")</f>
        <v>45502</v>
      </c>
      <c r="C698" t="str">
        <f>MONTH(ТабПозиции[[#This Row],[date]])&amp;"/"&amp;YEAR(ТабПозиции[[#This Row],[date]])</f>
        <v>7/2024</v>
      </c>
      <c r="D698" s="1" t="str">
        <f>IFERROR(VLOOKUP(ТабПозиции[[#This Row],[orderNum]],ТабЗаказы[#Data],MATCH(D$7,ТабЗаказы[#Headers],0),0),"")</f>
        <v/>
      </c>
      <c r="E698" s="1" t="str">
        <f>IFERROR(VLOOKUP(ТабПозиции[[#This Row],[orderNum]],ТабЗаказы[#Data],MATCH(E$7,ТабЗаказы[#Headers],0),0),"")</f>
        <v/>
      </c>
      <c r="F698" s="16" t="s">
        <v>1181</v>
      </c>
      <c r="G698" s="40" t="s">
        <v>545</v>
      </c>
      <c r="I698" s="18">
        <v>45504</v>
      </c>
      <c r="J698" s="10">
        <v>1</v>
      </c>
      <c r="K698" s="10">
        <v>498</v>
      </c>
      <c r="L698">
        <v>498</v>
      </c>
      <c r="M698" s="10">
        <v>509</v>
      </c>
      <c r="N698">
        <f t="shared" si="12"/>
        <v>509</v>
      </c>
      <c r="P6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Row],[orderNum]],ТабПозиции[orderSumm])&gt;1500),ABS(N698*VLOOKUP(ТабПозиции[[#This Row],[orderNum]],ТабЗаказы[#Data],MATCH("Percent",ТабЗаказы[#Headers],0),0))/100,200/COUNTIF(ТабПозиции[orderNum],ТабПозиции[[#This Row],[orderNum]])),0),"")</f>
        <v>76</v>
      </c>
      <c r="Q698">
        <f>IF(OR(ТабПозиции[[#This Row],[item]]="По штрихкоду",ТабПозиции[[#This Row],[item]]="Посылка"),ТабПозиции[[#This Row],[deliverySumm]]+ТабПозиции[[#This Row],[deliveryPost]],SUM(N698:P698))</f>
        <v>585</v>
      </c>
      <c r="R698" s="41">
        <v>585</v>
      </c>
      <c r="S698" s="46">
        <f>ТабПозиции[[#This Row],[totalSumm]]-ТабПозиции[[#This Row],[payment]]</f>
        <v>0</v>
      </c>
      <c r="T698" s="18" t="s">
        <v>970</v>
      </c>
      <c r="U698" s="40" t="s">
        <v>545</v>
      </c>
      <c r="V698" s="40" t="s">
        <v>545</v>
      </c>
      <c r="W698" s="40" t="s">
        <v>545</v>
      </c>
      <c r="X698" s="3"/>
      <c r="Y698"/>
    </row>
    <row r="699" spans="1:25" hidden="1" x14ac:dyDescent="0.25">
      <c r="A699" s="10">
        <v>193</v>
      </c>
      <c r="B699" s="1">
        <f>IFERROR(VLOOKUP(ТабПозиции[[#This Row],[orderNum]],ТабЗаказы[#Data],MATCH(B$7,ТабЗаказы[#Headers],0),0),"")</f>
        <v>45502</v>
      </c>
      <c r="C699" t="str">
        <f>MONTH(ТабПозиции[[#This Row],[date]])&amp;"/"&amp;YEAR(ТабПозиции[[#This Row],[date]])</f>
        <v>7/2024</v>
      </c>
      <c r="D699" s="1" t="str">
        <f>IFERROR(VLOOKUP(ТабПозиции[[#This Row],[orderNum]],ТабЗаказы[#Data],MATCH(D$7,ТабЗаказы[#Headers],0),0),"")</f>
        <v/>
      </c>
      <c r="E699" s="1" t="str">
        <f>IFERROR(VLOOKUP(ТабПозиции[[#This Row],[orderNum]],ТабЗаказы[#Data],MATCH(E$7,ТабЗаказы[#Headers],0),0),"")</f>
        <v/>
      </c>
      <c r="F699" s="16" t="s">
        <v>1182</v>
      </c>
      <c r="G699" s="40" t="s">
        <v>545</v>
      </c>
      <c r="I699" s="18">
        <v>45505</v>
      </c>
      <c r="J699" s="10">
        <v>1</v>
      </c>
      <c r="K699" s="10">
        <v>381</v>
      </c>
      <c r="L699">
        <v>381</v>
      </c>
      <c r="M699" s="10">
        <v>389</v>
      </c>
      <c r="N699">
        <f t="shared" si="12"/>
        <v>389</v>
      </c>
      <c r="P6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Row],[orderNum]],ТабПозиции[orderSumm])&gt;1500),ABS(N699*VLOOKUP(ТабПозиции[[#This Row],[orderNum]],ТабЗаказы[#Data],MATCH("Percent",ТабЗаказы[#Headers],0),0))/100,200/COUNTIF(ТабПозиции[orderNum],ТабПозиции[[#This Row],[orderNum]])),0),"")</f>
        <v>58</v>
      </c>
      <c r="Q699">
        <f>IF(OR(ТабПозиции[[#This Row],[item]]="По штрихкоду",ТабПозиции[[#This Row],[item]]="Посылка"),ТабПозиции[[#This Row],[deliverySumm]]+ТабПозиции[[#This Row],[deliveryPost]],SUM(N699:P699))</f>
        <v>447</v>
      </c>
      <c r="R699" s="41">
        <v>447</v>
      </c>
      <c r="S699" s="46">
        <f>ТабПозиции[[#This Row],[totalSumm]]-ТабПозиции[[#This Row],[payment]]</f>
        <v>0</v>
      </c>
      <c r="T699" s="18" t="s">
        <v>970</v>
      </c>
      <c r="U699" s="40" t="s">
        <v>545</v>
      </c>
      <c r="V699" s="40" t="s">
        <v>545</v>
      </c>
      <c r="W699" s="40" t="s">
        <v>545</v>
      </c>
      <c r="X699" s="3"/>
      <c r="Y699"/>
    </row>
    <row r="700" spans="1:25" hidden="1" x14ac:dyDescent="0.25">
      <c r="A700" s="10">
        <v>193</v>
      </c>
      <c r="B700" s="1">
        <f>IFERROR(VLOOKUP(ТабПозиции[[#This Row],[orderNum]],ТабЗаказы[#Data],MATCH(B$7,ТабЗаказы[#Headers],0),0),"")</f>
        <v>45502</v>
      </c>
      <c r="C700" t="str">
        <f>MONTH(ТабПозиции[[#This Row],[date]])&amp;"/"&amp;YEAR(ТабПозиции[[#This Row],[date]])</f>
        <v>7/2024</v>
      </c>
      <c r="D700" s="1" t="str">
        <f>IFERROR(VLOOKUP(ТабПозиции[[#This Row],[orderNum]],ТабЗаказы[#Data],MATCH(D$7,ТабЗаказы[#Headers],0),0),"")</f>
        <v/>
      </c>
      <c r="E700" s="1" t="str">
        <f>IFERROR(VLOOKUP(ТабПозиции[[#This Row],[orderNum]],ТабЗаказы[#Data],MATCH(E$7,ТабЗаказы[#Headers],0),0),"")</f>
        <v/>
      </c>
      <c r="F700" s="16" t="s">
        <v>1183</v>
      </c>
      <c r="G700" s="40" t="s">
        <v>545</v>
      </c>
      <c r="I700" s="18">
        <v>45504</v>
      </c>
      <c r="J700" s="10">
        <v>1</v>
      </c>
      <c r="K700" s="10">
        <v>1242</v>
      </c>
      <c r="L700">
        <v>1242</v>
      </c>
      <c r="M700" s="10">
        <v>1268</v>
      </c>
      <c r="N700">
        <f t="shared" si="12"/>
        <v>1268</v>
      </c>
      <c r="P7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Row],[orderNum]],ТабПозиции[orderSumm])&gt;1500),ABS(N700*VLOOKUP(ТабПозиции[[#This Row],[orderNum]],ТабЗаказы[#Data],MATCH("Percent",ТабЗаказы[#Headers],0),0))/100,200/COUNTIF(ТабПозиции[orderNum],ТабПозиции[[#This Row],[orderNum]])),0),"")</f>
        <v>190</v>
      </c>
      <c r="Q700">
        <f>IF(OR(ТабПозиции[[#This Row],[item]]="По штрихкоду",ТабПозиции[[#This Row],[item]]="Посылка"),ТабПозиции[[#This Row],[deliverySumm]]+ТабПозиции[[#This Row],[deliveryPost]],SUM(N700:P700))</f>
        <v>1458</v>
      </c>
      <c r="R700" s="41">
        <v>1458</v>
      </c>
      <c r="S700" s="46">
        <f>ТабПозиции[[#This Row],[totalSumm]]-ТабПозиции[[#This Row],[payment]]</f>
        <v>0</v>
      </c>
      <c r="T700" s="18" t="s">
        <v>970</v>
      </c>
      <c r="U700" s="40" t="s">
        <v>545</v>
      </c>
      <c r="V700" s="40" t="s">
        <v>545</v>
      </c>
      <c r="W700" s="40" t="s">
        <v>545</v>
      </c>
      <c r="X700" s="3"/>
      <c r="Y700"/>
    </row>
    <row r="701" spans="1:25" hidden="1" x14ac:dyDescent="0.25">
      <c r="A701" s="10">
        <v>193</v>
      </c>
      <c r="B701" s="1">
        <f>IFERROR(VLOOKUP(ТабПозиции[[#This Row],[orderNum]],ТабЗаказы[#Data],MATCH(B$7,ТабЗаказы[#Headers],0),0),"")</f>
        <v>45502</v>
      </c>
      <c r="C701" t="str">
        <f>MONTH(ТабПозиции[[#This Row],[date]])&amp;"/"&amp;YEAR(ТабПозиции[[#This Row],[date]])</f>
        <v>7/2024</v>
      </c>
      <c r="D701" s="1" t="str">
        <f>IFERROR(VLOOKUP(ТабПозиции[[#This Row],[orderNum]],ТабЗаказы[#Data],MATCH(D$7,ТабЗаказы[#Headers],0),0),"")</f>
        <v/>
      </c>
      <c r="E701" s="1" t="str">
        <f>IFERROR(VLOOKUP(ТабПозиции[[#This Row],[orderNum]],ТабЗаказы[#Data],MATCH(E$7,ТабЗаказы[#Headers],0),0),"")</f>
        <v/>
      </c>
      <c r="F701" s="16" t="s">
        <v>1170</v>
      </c>
      <c r="G701" s="40" t="s">
        <v>545</v>
      </c>
      <c r="I701" s="18">
        <v>45504</v>
      </c>
      <c r="J701" s="10">
        <v>1</v>
      </c>
      <c r="K701" s="10">
        <v>733</v>
      </c>
      <c r="L701">
        <v>733</v>
      </c>
      <c r="M701" s="10">
        <v>748</v>
      </c>
      <c r="N701">
        <f t="shared" si="12"/>
        <v>748</v>
      </c>
      <c r="P7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Row],[orderNum]],ТабПозиции[orderSumm])&gt;1500),ABS(N701*VLOOKUP(ТабПозиции[[#This Row],[orderNum]],ТабЗаказы[#Data],MATCH("Percent",ТабЗаказы[#Headers],0),0))/100,200/COUNTIF(ТабПозиции[orderNum],ТабПозиции[[#This Row],[orderNum]])),0),"")</f>
        <v>112</v>
      </c>
      <c r="Q701">
        <f>IF(OR(ТабПозиции[[#This Row],[item]]="По штрихкоду",ТабПозиции[[#This Row],[item]]="Посылка"),ТабПозиции[[#This Row],[deliverySumm]]+ТабПозиции[[#This Row],[deliveryPost]],SUM(N701:P701))</f>
        <v>860</v>
      </c>
      <c r="R701" s="41">
        <v>860</v>
      </c>
      <c r="S701" s="46">
        <f>ТабПозиции[[#This Row],[totalSumm]]-ТабПозиции[[#This Row],[payment]]</f>
        <v>0</v>
      </c>
      <c r="T701" s="18" t="s">
        <v>970</v>
      </c>
      <c r="U701" s="40" t="s">
        <v>545</v>
      </c>
      <c r="V701" s="40" t="s">
        <v>545</v>
      </c>
      <c r="W701" s="40" t="s">
        <v>545</v>
      </c>
      <c r="X701" s="3"/>
      <c r="Y701"/>
    </row>
    <row r="702" spans="1:25" hidden="1" x14ac:dyDescent="0.25">
      <c r="A702" s="10">
        <v>192</v>
      </c>
      <c r="B702" s="1">
        <f>IFERROR(VLOOKUP(ТабПозиции[[#This Row],[orderNum]],ТабЗаказы[#Data],MATCH(B$7,ТабЗаказы[#Headers],0),0),"")</f>
        <v>45502</v>
      </c>
      <c r="C702" t="str">
        <f>MONTH(ТабПозиции[[#This Row],[date]])&amp;"/"&amp;YEAR(ТабПозиции[[#This Row],[date]])</f>
        <v>7/2024</v>
      </c>
      <c r="D702" s="1" t="str">
        <f>IFERROR(VLOOKUP(ТабПозиции[[#This Row],[orderNum]],ТабЗаказы[#Data],MATCH(D$7,ТабЗаказы[#Headers],0),0),"")</f>
        <v/>
      </c>
      <c r="E702" s="1" t="str">
        <f>IFERROR(VLOOKUP(ТабПозиции[[#This Row],[orderNum]],ТабЗаказы[#Data],MATCH(E$7,ТабЗаказы[#Headers],0),0),"")</f>
        <v/>
      </c>
      <c r="F702" s="16" t="s">
        <v>1184</v>
      </c>
      <c r="G702" s="40" t="s">
        <v>545</v>
      </c>
      <c r="I702" s="18">
        <v>45506</v>
      </c>
      <c r="J702" s="10">
        <v>1</v>
      </c>
      <c r="K702" s="10">
        <v>914</v>
      </c>
      <c r="L702">
        <v>914</v>
      </c>
      <c r="M702" s="10">
        <v>1004</v>
      </c>
      <c r="N702">
        <f t="shared" si="12"/>
        <v>1004</v>
      </c>
      <c r="P7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Row],[orderNum]],ТабПозиции[orderSumm])&gt;1500),ABS(N702*VLOOKUP(ТабПозиции[[#This Row],[orderNum]],ТабЗаказы[#Data],MATCH("Percent",ТабЗаказы[#Headers],0),0))/100,200/COUNTIF(ТабПозиции[orderNum],ТабПозиции[[#This Row],[orderNum]])),0),"")</f>
        <v>151</v>
      </c>
      <c r="Q702">
        <f>IF(OR(ТабПозиции[[#This Row],[item]]="По штрихкоду",ТабПозиции[[#This Row],[item]]="Посылка"),ТабПозиции[[#This Row],[deliverySumm]]+ТабПозиции[[#This Row],[deliveryPost]],SUM(N702:P702))</f>
        <v>1155</v>
      </c>
      <c r="R702" s="41">
        <v>1155</v>
      </c>
      <c r="S702" s="46">
        <f>ТабПозиции[[#This Row],[totalSumm]]-ТабПозиции[[#This Row],[payment]]</f>
        <v>0</v>
      </c>
      <c r="T702" s="18" t="s">
        <v>960</v>
      </c>
      <c r="U702" s="40" t="s">
        <v>545</v>
      </c>
      <c r="V702" s="40" t="s">
        <v>545</v>
      </c>
      <c r="W702" s="40" t="s">
        <v>545</v>
      </c>
      <c r="X702" s="3"/>
      <c r="Y702"/>
    </row>
    <row r="703" spans="1:25" hidden="1" x14ac:dyDescent="0.25">
      <c r="A703" s="10">
        <v>194</v>
      </c>
      <c r="B703" s="1">
        <f>IFERROR(VLOOKUP(ТабПозиции[[#This Row],[orderNum]],ТабЗаказы[#Data],MATCH(B$7,ТабЗаказы[#Headers],0),0),"")</f>
        <v>45506</v>
      </c>
      <c r="C703" t="str">
        <f>MONTH(ТабПозиции[[#This Row],[date]])&amp;"/"&amp;YEAR(ТабПозиции[[#This Row],[date]])</f>
        <v>8/2024</v>
      </c>
      <c r="D703" s="1" t="str">
        <f>IFERROR(VLOOKUP(ТабПозиции[[#This Row],[orderNum]],ТабЗаказы[#Data],MATCH(D$7,ТабЗаказы[#Headers],0),0),"")</f>
        <v/>
      </c>
      <c r="E703" s="1" t="str">
        <f>IFERROR(VLOOKUP(ТабПозиции[[#This Row],[orderNum]],ТабЗаказы[#Data],MATCH(E$7,ТабЗаказы[#Headers],0),0),"")</f>
        <v/>
      </c>
      <c r="F703" s="10" t="s">
        <v>32</v>
      </c>
      <c r="G703" s="40" t="s">
        <v>545</v>
      </c>
      <c r="I703" s="18"/>
      <c r="J703" s="10">
        <v>1</v>
      </c>
      <c r="K703" s="10">
        <f>3086+3280</f>
        <v>6366</v>
      </c>
      <c r="L703">
        <v>6366</v>
      </c>
      <c r="M703" s="10">
        <f>3086+3280</f>
        <v>6366</v>
      </c>
      <c r="N703">
        <f t="shared" si="12"/>
        <v>6366</v>
      </c>
      <c r="O703" s="10">
        <v>200</v>
      </c>
      <c r="P7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Row],[orderNum]],ТабПозиции[orderSumm])&gt;1500),ABS(N703*VLOOKUP(ТабПозиции[[#This Row],[orderNum]],ТабЗаказы[#Data],MATCH("Percent",ТабЗаказы[#Headers],0),0))/100,200/COUNTIF(ТабПозиции[orderNum],ТабПозиции[[#This Row],[orderNum]])),0),"")</f>
        <v>955</v>
      </c>
      <c r="Q703">
        <f>IF(OR(ТабПозиции[[#This Row],[item]]="По штрихкоду",ТабПозиции[[#This Row],[item]]="Посылка"),ТабПозиции[[#This Row],[deliverySumm]]+ТабПозиции[[#This Row],[deliveryPost]],SUM(N703:P703))</f>
        <v>1155</v>
      </c>
      <c r="R703" s="41">
        <v>1155</v>
      </c>
      <c r="S703" s="46">
        <f>ТабПозиции[[#This Row],[totalSumm]]-ТабПозиции[[#This Row],[payment]]</f>
        <v>0</v>
      </c>
      <c r="T703" s="18" t="s">
        <v>960</v>
      </c>
      <c r="U703" s="40" t="s">
        <v>545</v>
      </c>
      <c r="V703" s="40" t="s">
        <v>545</v>
      </c>
      <c r="W703" s="40" t="s">
        <v>545</v>
      </c>
      <c r="X703" s="3"/>
      <c r="Y703"/>
    </row>
    <row r="704" spans="1:25" hidden="1" x14ac:dyDescent="0.25">
      <c r="A704" s="10">
        <v>195</v>
      </c>
      <c r="B704" s="1">
        <f>IFERROR(VLOOKUP(ТабПозиции[[#This Row],[orderNum]],ТабЗаказы[#Data],MATCH(B$7,ТабЗаказы[#Headers],0),0),"")</f>
        <v>45506</v>
      </c>
      <c r="C704" t="str">
        <f>MONTH(ТабПозиции[[#This Row],[date]])&amp;"/"&amp;YEAR(ТабПозиции[[#This Row],[date]])</f>
        <v>8/2024</v>
      </c>
      <c r="D704" s="1" t="str">
        <f>IFERROR(VLOOKUP(ТабПозиции[[#This Row],[orderNum]],ТабЗаказы[#Data],MATCH(D$7,ТабЗаказы[#Headers],0),0),"")</f>
        <v/>
      </c>
      <c r="E704" s="1" t="str">
        <f>IFERROR(VLOOKUP(ТабПозиции[[#This Row],[orderNum]],ТабЗаказы[#Data],MATCH(E$7,ТабЗаказы[#Headers],0),0),"")</f>
        <v/>
      </c>
      <c r="F704" s="10" t="s">
        <v>32</v>
      </c>
      <c r="G704" s="40" t="s">
        <v>545</v>
      </c>
      <c r="I704" s="18"/>
      <c r="J704" s="10">
        <v>1</v>
      </c>
      <c r="K704" s="10">
        <v>4524</v>
      </c>
      <c r="L704">
        <v>4524</v>
      </c>
      <c r="M704" s="10">
        <v>4524</v>
      </c>
      <c r="N704">
        <f t="shared" si="12"/>
        <v>4524</v>
      </c>
      <c r="P7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Row],[orderNum]],ТабПозиции[orderSumm])&gt;1500),ABS(N704*VLOOKUP(ТабПозиции[[#This Row],[orderNum]],ТабЗаказы[#Data],MATCH("Percent",ТабЗаказы[#Headers],0),0))/100,200/COUNTIF(ТабПозиции[orderNum],ТабПозиции[[#This Row],[orderNum]])),0),"")</f>
        <v>452</v>
      </c>
      <c r="Q704">
        <f>IF(OR(ТабПозиции[[#This Row],[item]]="По штрихкоду",ТабПозиции[[#This Row],[item]]="Посылка"),ТабПозиции[[#This Row],[deliverySumm]]+ТабПозиции[[#This Row],[deliveryPost]],SUM(N704:P704))</f>
        <v>452</v>
      </c>
      <c r="R704" s="41">
        <v>452</v>
      </c>
      <c r="S704" s="46">
        <f>ТабПозиции[[#This Row],[totalSumm]]-ТабПозиции[[#This Row],[payment]]</f>
        <v>0</v>
      </c>
      <c r="T704" s="18" t="s">
        <v>970</v>
      </c>
      <c r="U704" s="40" t="s">
        <v>545</v>
      </c>
      <c r="V704" s="40" t="s">
        <v>545</v>
      </c>
      <c r="W704" s="40" t="s">
        <v>545</v>
      </c>
      <c r="X704" s="3"/>
      <c r="Y704"/>
    </row>
    <row r="705" spans="1:25" hidden="1" x14ac:dyDescent="0.25">
      <c r="A705" s="10">
        <v>196</v>
      </c>
      <c r="B705" s="1">
        <f>IFERROR(VLOOKUP(ТабПозиции[[#This Row],[orderNum]],ТабЗаказы[#Data],MATCH(B$7,ТабЗаказы[#Headers],0),0),"")</f>
        <v>45508</v>
      </c>
      <c r="C705" t="str">
        <f>MONTH(ТабПозиции[[#This Row],[date]])&amp;"/"&amp;YEAR(ТабПозиции[[#This Row],[date]])</f>
        <v>8/2024</v>
      </c>
      <c r="D705" s="1" t="str">
        <f>IFERROR(VLOOKUP(ТабПозиции[[#This Row],[orderNum]],ТабЗаказы[#Data],MATCH(D$7,ТабЗаказы[#Headers],0),0),"")</f>
        <v/>
      </c>
      <c r="E705" s="1" t="str">
        <f>IFERROR(VLOOKUP(ТабПозиции[[#This Row],[orderNum]],ТабЗаказы[#Data],MATCH(E$7,ТабЗаказы[#Headers],0),0),"")</f>
        <v/>
      </c>
      <c r="F705" s="19" t="s">
        <v>1185</v>
      </c>
      <c r="G705" s="40" t="s">
        <v>545</v>
      </c>
      <c r="I705" s="18">
        <v>45509</v>
      </c>
      <c r="J705" s="10">
        <v>1</v>
      </c>
      <c r="K705" s="10">
        <v>526</v>
      </c>
      <c r="L705">
        <v>526</v>
      </c>
      <c r="M705" s="10">
        <v>554</v>
      </c>
      <c r="N705">
        <f t="shared" si="12"/>
        <v>554</v>
      </c>
      <c r="P7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Row],[orderNum]],ТабПозиции[orderSumm])&gt;1500),ABS(N705*VLOOKUP(ТабПозиции[[#This Row],[orderNum]],ТабЗаказы[#Data],MATCH("Percent",ТабЗаказы[#Headers],0),0))/100,200/COUNTIF(ТабПозиции[orderNum],ТабПозиции[[#This Row],[orderNum]])),0),"")</f>
        <v>83</v>
      </c>
      <c r="Q705">
        <f>IF(OR(ТабПозиции[[#This Row],[item]]="По штрихкоду",ТабПозиции[[#This Row],[item]]="Посылка"),ТабПозиции[[#This Row],[deliverySumm]]+ТабПозиции[[#This Row],[deliveryPost]],SUM(N705:P705))</f>
        <v>637</v>
      </c>
      <c r="R705" s="41">
        <v>637</v>
      </c>
      <c r="S705" s="46">
        <f>ТабПозиции[[#This Row],[totalSumm]]-ТабПозиции[[#This Row],[payment]]</f>
        <v>0</v>
      </c>
      <c r="T705" s="18" t="s">
        <v>970</v>
      </c>
      <c r="U705" s="40" t="s">
        <v>545</v>
      </c>
      <c r="V705" s="40" t="s">
        <v>545</v>
      </c>
      <c r="W705" s="40" t="s">
        <v>545</v>
      </c>
      <c r="X705" s="3"/>
      <c r="Y705"/>
    </row>
    <row r="706" spans="1:25" hidden="1" x14ac:dyDescent="0.25">
      <c r="A706" s="10">
        <v>196</v>
      </c>
      <c r="B706" s="1">
        <f>IFERROR(VLOOKUP(ТабПозиции[[#This Row],[orderNum]],ТабЗаказы[#Data],MATCH(B$7,ТабЗаказы[#Headers],0),0),"")</f>
        <v>45508</v>
      </c>
      <c r="C706" t="str">
        <f>MONTH(ТабПозиции[[#This Row],[date]])&amp;"/"&amp;YEAR(ТабПозиции[[#This Row],[date]])</f>
        <v>8/2024</v>
      </c>
      <c r="D706" s="1" t="str">
        <f>IFERROR(VLOOKUP(ТабПозиции[[#This Row],[orderNum]],ТабЗаказы[#Data],MATCH(D$7,ТабЗаказы[#Headers],0),0),"")</f>
        <v/>
      </c>
      <c r="E706" s="1" t="str">
        <f>IFERROR(VLOOKUP(ТабПозиции[[#This Row],[orderNum]],ТабЗаказы[#Data],MATCH(E$7,ТабЗаказы[#Headers],0),0),"")</f>
        <v/>
      </c>
      <c r="F706" s="19" t="s">
        <v>1186</v>
      </c>
      <c r="G706" s="40" t="s">
        <v>545</v>
      </c>
      <c r="I706" s="18">
        <v>45509</v>
      </c>
      <c r="J706" s="10">
        <v>1</v>
      </c>
      <c r="K706" s="10">
        <v>1198</v>
      </c>
      <c r="L706">
        <v>1198</v>
      </c>
      <c r="M706" s="10">
        <v>1262</v>
      </c>
      <c r="N706">
        <f t="shared" si="12"/>
        <v>1262</v>
      </c>
      <c r="P7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Row],[orderNum]],ТабПозиции[orderSumm])&gt;1500),ABS(N706*VLOOKUP(ТабПозиции[[#This Row],[orderNum]],ТабЗаказы[#Data],MATCH("Percent",ТабЗаказы[#Headers],0),0))/100,200/COUNTIF(ТабПозиции[orderNum],ТабПозиции[[#This Row],[orderNum]])),0),"")</f>
        <v>189</v>
      </c>
      <c r="Q706">
        <f>IF(OR(ТабПозиции[[#This Row],[item]]="По штрихкоду",ТабПозиции[[#This Row],[item]]="Посылка"),ТабПозиции[[#This Row],[deliverySumm]]+ТабПозиции[[#This Row],[deliveryPost]],SUM(N706:P706))</f>
        <v>1451</v>
      </c>
      <c r="R706" s="41">
        <v>1451</v>
      </c>
      <c r="S706" s="46">
        <f>ТабПозиции[[#This Row],[totalSumm]]-ТабПозиции[[#This Row],[payment]]</f>
        <v>0</v>
      </c>
      <c r="T706" s="18" t="s">
        <v>970</v>
      </c>
      <c r="U706" s="40" t="s">
        <v>545</v>
      </c>
      <c r="V706" s="40" t="s">
        <v>545</v>
      </c>
      <c r="W706" s="40" t="s">
        <v>545</v>
      </c>
      <c r="X706" s="3"/>
      <c r="Y706"/>
    </row>
    <row r="707" spans="1:25" hidden="1" x14ac:dyDescent="0.25">
      <c r="A707" s="10">
        <v>196</v>
      </c>
      <c r="B707" s="1">
        <f>IFERROR(VLOOKUP(ТабПозиции[[#This Row],[orderNum]],ТабЗаказы[#Data],MATCH(B$7,ТабЗаказы[#Headers],0),0),"")</f>
        <v>45508</v>
      </c>
      <c r="C707" t="str">
        <f>MONTH(ТабПозиции[[#This Row],[date]])&amp;"/"&amp;YEAR(ТабПозиции[[#This Row],[date]])</f>
        <v>8/2024</v>
      </c>
      <c r="D707" s="1" t="str">
        <f>IFERROR(VLOOKUP(ТабПозиции[[#This Row],[orderNum]],ТабЗаказы[#Data],MATCH(D$7,ТабЗаказы[#Headers],0),0),"")</f>
        <v/>
      </c>
      <c r="E707" s="1" t="str">
        <f>IFERROR(VLOOKUP(ТабПозиции[[#This Row],[orderNum]],ТабЗаказы[#Data],MATCH(E$7,ТабЗаказы[#Headers],0),0),"")</f>
        <v/>
      </c>
      <c r="F707" s="19" t="s">
        <v>1187</v>
      </c>
      <c r="G707" s="40" t="s">
        <v>545</v>
      </c>
      <c r="I707" s="18">
        <v>45513</v>
      </c>
      <c r="J707" s="10">
        <v>1</v>
      </c>
      <c r="K707" s="10">
        <v>647</v>
      </c>
      <c r="L707">
        <v>647</v>
      </c>
      <c r="M707" s="10">
        <v>682</v>
      </c>
      <c r="N707">
        <f t="shared" si="12"/>
        <v>682</v>
      </c>
      <c r="P7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Row],[orderNum]],ТабПозиции[orderSumm])&gt;1500),ABS(N707*VLOOKUP(ТабПозиции[[#This Row],[orderNum]],ТабЗаказы[#Data],MATCH("Percent",ТабЗаказы[#Headers],0),0))/100,200/COUNTIF(ТабПозиции[orderNum],ТабПозиции[[#This Row],[orderNum]])),0),"")</f>
        <v>102</v>
      </c>
      <c r="Q707">
        <f>IF(OR(ТабПозиции[[#This Row],[item]]="По штрихкоду",ТабПозиции[[#This Row],[item]]="Посылка"),ТабПозиции[[#This Row],[deliverySumm]]+ТабПозиции[[#This Row],[deliveryPost]],SUM(N707:P707))</f>
        <v>784</v>
      </c>
      <c r="R707" s="41">
        <v>784</v>
      </c>
      <c r="S707" s="46">
        <f>ТабПозиции[[#This Row],[totalSumm]]-ТабПозиции[[#This Row],[payment]]</f>
        <v>0</v>
      </c>
      <c r="T707" s="18" t="s">
        <v>970</v>
      </c>
      <c r="U707" s="40" t="s">
        <v>545</v>
      </c>
      <c r="V707" s="40" t="s">
        <v>545</v>
      </c>
      <c r="W707" s="40" t="s">
        <v>545</v>
      </c>
      <c r="X707" s="3"/>
      <c r="Y707"/>
    </row>
    <row r="708" spans="1:25" hidden="1" x14ac:dyDescent="0.25">
      <c r="A708" s="10">
        <v>192</v>
      </c>
      <c r="B708" s="1">
        <f>IFERROR(VLOOKUP(ТабПозиции[[#This Row],[orderNum]],ТабЗаказы[#Data],MATCH(B$7,ТабЗаказы[#Headers],0),0),"")</f>
        <v>45502</v>
      </c>
      <c r="C708" t="str">
        <f>MONTH(ТабПозиции[[#This Row],[date]])&amp;"/"&amp;YEAR(ТабПозиции[[#This Row],[date]])</f>
        <v>7/2024</v>
      </c>
      <c r="D708" s="1" t="str">
        <f>IFERROR(VLOOKUP(ТабПозиции[[#This Row],[orderNum]],ТабЗаказы[#Data],MATCH(D$7,ТабЗаказы[#Headers],0),0),"")</f>
        <v/>
      </c>
      <c r="E708" s="1" t="str">
        <f>IFERROR(VLOOKUP(ТабПозиции[[#This Row],[orderNum]],ТабЗаказы[#Data],MATCH(E$7,ТабЗаказы[#Headers],0),0),"")</f>
        <v/>
      </c>
      <c r="F708" s="16" t="s">
        <v>1176</v>
      </c>
      <c r="G708" s="40" t="s">
        <v>545</v>
      </c>
      <c r="I708" s="18">
        <v>45535</v>
      </c>
      <c r="J708" s="10">
        <v>0</v>
      </c>
      <c r="K708" s="10">
        <v>3934</v>
      </c>
      <c r="L708">
        <v>0</v>
      </c>
      <c r="M708" s="10">
        <v>4173</v>
      </c>
      <c r="N708">
        <f t="shared" si="12"/>
        <v>0</v>
      </c>
      <c r="P7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Row],[orderNum]],ТабПозиции[orderSumm])&gt;1500),ABS(N708*VLOOKUP(ТабПозиции[[#This Row],[orderNum]],ТабЗаказы[#Data],MATCH("Percent",ТабЗаказы[#Headers],0),0))/100,200/COUNTIF(ТабПозиции[orderNum],ТабПозиции[[#This Row],[orderNum]])),0),"")</f>
        <v>0</v>
      </c>
      <c r="Q708">
        <f>IF(OR(ТабПозиции[[#This Row],[item]]="По штрихкоду",ТабПозиции[[#This Row],[item]]="Посылка"),ТабПозиции[[#This Row],[deliverySumm]]+ТабПозиции[[#This Row],[deliveryPost]],SUM(N708:P708))</f>
        <v>0</v>
      </c>
      <c r="S708" s="46">
        <f>ТабПозиции[[#This Row],[totalSumm]]-ТабПозиции[[#This Row],[payment]]</f>
        <v>0</v>
      </c>
      <c r="T708" s="18" t="s">
        <v>960</v>
      </c>
      <c r="U708" s="40" t="s">
        <v>545</v>
      </c>
      <c r="V708" s="40" t="s">
        <v>545</v>
      </c>
      <c r="W708" s="40" t="s">
        <v>545</v>
      </c>
      <c r="X708" s="3"/>
      <c r="Y708"/>
    </row>
    <row r="709" spans="1:25" hidden="1" x14ac:dyDescent="0.25">
      <c r="A709" s="10">
        <v>192</v>
      </c>
      <c r="B709" s="1">
        <f>IFERROR(VLOOKUP(ТабПозиции[[#This Row],[orderNum]],ТабЗаказы[#Data],MATCH(B$7,ТабЗаказы[#Headers],0),0),"")</f>
        <v>45502</v>
      </c>
      <c r="C709" t="str">
        <f>MONTH(ТабПозиции[[#This Row],[date]])&amp;"/"&amp;YEAR(ТабПозиции[[#This Row],[date]])</f>
        <v>7/2024</v>
      </c>
      <c r="D709" s="1" t="str">
        <f>IFERROR(VLOOKUP(ТабПозиции[[#This Row],[orderNum]],ТабЗаказы[#Data],MATCH(D$7,ТабЗаказы[#Headers],0),0),"")</f>
        <v/>
      </c>
      <c r="E709" s="1" t="str">
        <f>IFERROR(VLOOKUP(ТабПозиции[[#This Row],[orderNum]],ТабЗаказы[#Data],MATCH(E$7,ТабЗаказы[#Headers],0),0),"")</f>
        <v/>
      </c>
      <c r="F709" s="16" t="s">
        <v>1141</v>
      </c>
      <c r="G709" s="40" t="s">
        <v>545</v>
      </c>
      <c r="I709" s="18">
        <v>45524</v>
      </c>
      <c r="J709" s="10">
        <v>1</v>
      </c>
      <c r="K709" s="10">
        <v>297</v>
      </c>
      <c r="L709">
        <v>297</v>
      </c>
      <c r="M709" s="10">
        <v>349</v>
      </c>
      <c r="N709">
        <f t="shared" si="12"/>
        <v>349</v>
      </c>
      <c r="P7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Row],[orderNum]],ТабПозиции[orderSumm])&gt;1500),ABS(N709*VLOOKUP(ТабПозиции[[#This Row],[orderNum]],ТабЗаказы[#Data],MATCH("Percent",ТабЗаказы[#Headers],0),0))/100,200/COUNTIF(ТабПозиции[orderNum],ТабПозиции[[#This Row],[orderNum]])),0),"")</f>
        <v>52</v>
      </c>
      <c r="Q709">
        <f>IF(OR(ТабПозиции[[#This Row],[item]]="По штрихкоду",ТабПозиции[[#This Row],[item]]="Посылка"),ТабПозиции[[#This Row],[deliverySumm]]+ТабПозиции[[#This Row],[deliveryPost]],SUM(N709:P709))</f>
        <v>401</v>
      </c>
      <c r="R709" s="41">
        <v>401</v>
      </c>
      <c r="S709" s="46">
        <f>ТабПозиции[[#This Row],[totalSumm]]-ТабПозиции[[#This Row],[payment]]</f>
        <v>0</v>
      </c>
      <c r="T709" s="18" t="s">
        <v>960</v>
      </c>
      <c r="U709" s="40" t="s">
        <v>545</v>
      </c>
      <c r="V709" s="40" t="s">
        <v>545</v>
      </c>
      <c r="W709" s="40" t="s">
        <v>545</v>
      </c>
      <c r="X709" s="3"/>
      <c r="Y709"/>
    </row>
    <row r="710" spans="1:25" hidden="1" x14ac:dyDescent="0.25">
      <c r="A710" s="10">
        <v>198</v>
      </c>
      <c r="B710" s="1">
        <f>IFERROR(VLOOKUP(ТабПозиции[[#This Row],[orderNum]],ТабЗаказы[#Data],MATCH(B$7,ТабЗаказы[#Headers],0),0),"")</f>
        <v>45510</v>
      </c>
      <c r="C710" t="str">
        <f>MONTH(ТабПозиции[[#This Row],[date]])&amp;"/"&amp;YEAR(ТабПозиции[[#This Row],[date]])</f>
        <v>8/2024</v>
      </c>
      <c r="D710" s="1" t="str">
        <f>IFERROR(VLOOKUP(ТабПозиции[[#This Row],[orderNum]],ТабЗаказы[#Data],MATCH(D$7,ТабЗаказы[#Headers],0),0),"")</f>
        <v/>
      </c>
      <c r="E710" s="1" t="str">
        <f>IFERROR(VLOOKUP(ТабПозиции[[#This Row],[orderNum]],ТабЗаказы[#Data],MATCH(E$7,ТабЗаказы[#Headers],0),0),"")</f>
        <v/>
      </c>
      <c r="F710" s="16" t="s">
        <v>1188</v>
      </c>
      <c r="G710" s="40" t="s">
        <v>545</v>
      </c>
      <c r="I710" s="18">
        <v>45512</v>
      </c>
      <c r="J710" s="10">
        <v>1</v>
      </c>
      <c r="K710" s="10">
        <v>1201</v>
      </c>
      <c r="L710">
        <v>1201</v>
      </c>
      <c r="M710" s="10">
        <v>1292</v>
      </c>
      <c r="N710">
        <f t="shared" si="12"/>
        <v>1292</v>
      </c>
      <c r="P7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Row],[orderNum]],ТабПозиции[orderSumm])&gt;1500),ABS(N710*VLOOKUP(ТабПозиции[[#This Row],[orderNum]],ТабЗаказы[#Data],MATCH("Percent",ТабЗаказы[#Headers],0),0))/100,200/COUNTIF(ТабПозиции[orderNum],ТабПозиции[[#This Row],[orderNum]])),0),"")</f>
        <v>194</v>
      </c>
      <c r="Q710">
        <f>IF(OR(ТабПозиции[[#This Row],[item]]="По штрихкоду",ТабПозиции[[#This Row],[item]]="Посылка"),ТабПозиции[[#This Row],[deliverySumm]]+ТабПозиции[[#This Row],[deliveryPost]],SUM(N710:P710))</f>
        <v>1486</v>
      </c>
      <c r="R710" s="41">
        <v>1486</v>
      </c>
      <c r="S710" s="46">
        <f>ТабПозиции[[#This Row],[totalSumm]]-ТабПозиции[[#This Row],[payment]]</f>
        <v>0</v>
      </c>
      <c r="T710" s="18" t="s">
        <v>970</v>
      </c>
      <c r="U710" s="40" t="s">
        <v>545</v>
      </c>
      <c r="V710" s="40" t="s">
        <v>545</v>
      </c>
      <c r="W710" s="40" t="s">
        <v>545</v>
      </c>
      <c r="X710" s="3"/>
      <c r="Y710"/>
    </row>
    <row r="711" spans="1:25" hidden="1" x14ac:dyDescent="0.25">
      <c r="A711" s="10">
        <v>198</v>
      </c>
      <c r="B711" s="1">
        <f>IFERROR(VLOOKUP(ТабПозиции[[#This Row],[orderNum]],ТабЗаказы[#Data],MATCH(B$7,ТабЗаказы[#Headers],0),0),"")</f>
        <v>45510</v>
      </c>
      <c r="C711" t="str">
        <f>MONTH(ТабПозиции[[#This Row],[date]])&amp;"/"&amp;YEAR(ТабПозиции[[#This Row],[date]])</f>
        <v>8/2024</v>
      </c>
      <c r="D711" s="1" t="str">
        <f>IFERROR(VLOOKUP(ТабПозиции[[#This Row],[orderNum]],ТабЗаказы[#Data],MATCH(D$7,ТабЗаказы[#Headers],0),0),"")</f>
        <v/>
      </c>
      <c r="E711" s="1" t="str">
        <f>IFERROR(VLOOKUP(ТабПозиции[[#This Row],[orderNum]],ТабЗаказы[#Data],MATCH(E$7,ТабЗаказы[#Headers],0),0),"")</f>
        <v/>
      </c>
      <c r="F711" s="16" t="s">
        <v>1189</v>
      </c>
      <c r="G711" s="40" t="s">
        <v>545</v>
      </c>
      <c r="I711" s="18">
        <v>45511</v>
      </c>
      <c r="J711" s="10">
        <v>1</v>
      </c>
      <c r="K711" s="10">
        <v>1253</v>
      </c>
      <c r="L711">
        <v>1253</v>
      </c>
      <c r="M711" s="10">
        <v>1348</v>
      </c>
      <c r="N711">
        <f t="shared" si="12"/>
        <v>1348</v>
      </c>
      <c r="P7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Row],[orderNum]],ТабПозиции[orderSumm])&gt;1500),ABS(N711*VLOOKUP(ТабПозиции[[#This Row],[orderNum]],ТабЗаказы[#Data],MATCH("Percent",ТабЗаказы[#Headers],0),0))/100,200/COUNTIF(ТабПозиции[orderNum],ТабПозиции[[#This Row],[orderNum]])),0),"")</f>
        <v>202</v>
      </c>
      <c r="Q711">
        <f>IF(OR(ТабПозиции[[#This Row],[item]]="По штрихкоду",ТабПозиции[[#This Row],[item]]="Посылка"),ТабПозиции[[#This Row],[deliverySumm]]+ТабПозиции[[#This Row],[deliveryPost]],SUM(N711:P711))</f>
        <v>1550</v>
      </c>
      <c r="R711" s="41">
        <v>1550</v>
      </c>
      <c r="S711" s="46">
        <f>ТабПозиции[[#This Row],[totalSumm]]-ТабПозиции[[#This Row],[payment]]</f>
        <v>0</v>
      </c>
      <c r="T711" s="18" t="s">
        <v>970</v>
      </c>
      <c r="U711" s="40" t="s">
        <v>545</v>
      </c>
      <c r="V711" s="40" t="s">
        <v>545</v>
      </c>
      <c r="W711" s="40" t="s">
        <v>545</v>
      </c>
      <c r="X711" s="3"/>
      <c r="Y711"/>
    </row>
    <row r="712" spans="1:25" hidden="1" x14ac:dyDescent="0.25">
      <c r="A712" s="10">
        <v>199</v>
      </c>
      <c r="B712" s="1">
        <f>IFERROR(VLOOKUP(ТабПозиции[[#This Row],[orderNum]],ТабЗаказы[#Data],MATCH(B$7,ТабЗаказы[#Headers],0),0),"")</f>
        <v>45511</v>
      </c>
      <c r="C712" t="str">
        <f>MONTH(ТабПозиции[[#This Row],[date]])&amp;"/"&amp;YEAR(ТабПозиции[[#This Row],[date]])</f>
        <v>8/2024</v>
      </c>
      <c r="D712" s="1" t="str">
        <f>IFERROR(VLOOKUP(ТабПозиции[[#This Row],[orderNum]],ТабЗаказы[#Data],MATCH(D$7,ТабЗаказы[#Headers],0),0),"")</f>
        <v/>
      </c>
      <c r="E712" s="1" t="str">
        <f>IFERROR(VLOOKUP(ТабПозиции[[#This Row],[orderNum]],ТабЗаказы[#Data],MATCH(E$7,ТабЗаказы[#Headers],0),0),"")</f>
        <v/>
      </c>
      <c r="F712" s="16" t="s">
        <v>1190</v>
      </c>
      <c r="G712" s="40" t="s">
        <v>545</v>
      </c>
      <c r="I712" s="18">
        <v>45513</v>
      </c>
      <c r="J712" s="10">
        <v>1</v>
      </c>
      <c r="K712" s="10">
        <v>1449</v>
      </c>
      <c r="L712">
        <v>1449</v>
      </c>
      <c r="M712" s="10">
        <v>1576</v>
      </c>
      <c r="N712">
        <f t="shared" si="12"/>
        <v>1576</v>
      </c>
      <c r="P7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Row],[orderNum]],ТабПозиции[orderSumm])&gt;1500),ABS(N712*VLOOKUP(ТабПозиции[[#This Row],[orderNum]],ТабЗаказы[#Data],MATCH("Percent",ТабЗаказы[#Headers],0),0))/100,200/COUNTIF(ТабПозиции[orderNum],ТабПозиции[[#This Row],[orderNum]])),0),"")</f>
        <v>236</v>
      </c>
      <c r="Q712">
        <f>IF(OR(ТабПозиции[[#This Row],[item]]="По штрихкоду",ТабПозиции[[#This Row],[item]]="Посылка"),ТабПозиции[[#This Row],[deliverySumm]]+ТабПозиции[[#This Row],[deliveryPost]],SUM(N712:P712))</f>
        <v>1812</v>
      </c>
      <c r="R712" s="41">
        <v>1812</v>
      </c>
      <c r="S712" s="46">
        <f>ТабПозиции[[#This Row],[totalSumm]]-ТабПозиции[[#This Row],[payment]]</f>
        <v>0</v>
      </c>
      <c r="T712" s="18" t="s">
        <v>970</v>
      </c>
      <c r="U712" s="40" t="s">
        <v>545</v>
      </c>
      <c r="V712" s="40" t="s">
        <v>545</v>
      </c>
      <c r="W712" s="40" t="s">
        <v>545</v>
      </c>
      <c r="X712" s="3"/>
      <c r="Y712"/>
    </row>
    <row r="713" spans="1:25" hidden="1" x14ac:dyDescent="0.25">
      <c r="A713" s="10">
        <v>199</v>
      </c>
      <c r="B713" s="1">
        <f>IFERROR(VLOOKUP(ТабПозиции[[#This Row],[orderNum]],ТабЗаказы[#Data],MATCH(B$7,ТабЗаказы[#Headers],0),0),"")</f>
        <v>45511</v>
      </c>
      <c r="C713" t="str">
        <f>MONTH(ТабПозиции[[#This Row],[date]])&amp;"/"&amp;YEAR(ТабПозиции[[#This Row],[date]])</f>
        <v>8/2024</v>
      </c>
      <c r="D713" s="1" t="str">
        <f>IFERROR(VLOOKUP(ТабПозиции[[#This Row],[orderNum]],ТабЗаказы[#Data],MATCH(D$7,ТабЗаказы[#Headers],0),0),"")</f>
        <v/>
      </c>
      <c r="E713" s="1" t="str">
        <f>IFERROR(VLOOKUP(ТабПозиции[[#This Row],[orderNum]],ТабЗаказы[#Data],MATCH(E$7,ТабЗаказы[#Headers],0),0),"")</f>
        <v/>
      </c>
      <c r="F713" s="16" t="s">
        <v>1100</v>
      </c>
      <c r="G713" s="40" t="s">
        <v>545</v>
      </c>
      <c r="I713" s="18">
        <v>45515</v>
      </c>
      <c r="J713" s="10">
        <v>1</v>
      </c>
      <c r="K713" s="10">
        <v>525</v>
      </c>
      <c r="L713">
        <v>525</v>
      </c>
      <c r="M713" s="10">
        <v>571</v>
      </c>
      <c r="N713">
        <f t="shared" si="12"/>
        <v>571</v>
      </c>
      <c r="P7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Row],[orderNum]],ТабПозиции[orderSumm])&gt;1500),ABS(N713*VLOOKUP(ТабПозиции[[#This Row],[orderNum]],ТабЗаказы[#Data],MATCH("Percent",ТабЗаказы[#Headers],0),0))/100,200/COUNTIF(ТабПозиции[orderNum],ТабПозиции[[#This Row],[orderNum]])),0),"")</f>
        <v>86</v>
      </c>
      <c r="Q713">
        <f>IF(OR(ТабПозиции[[#This Row],[item]]="По штрихкоду",ТабПозиции[[#This Row],[item]]="Посылка"),ТабПозиции[[#This Row],[deliverySumm]]+ТабПозиции[[#This Row],[deliveryPost]],SUM(N713:P713))</f>
        <v>657</v>
      </c>
      <c r="R713" s="41">
        <v>657</v>
      </c>
      <c r="S713" s="46">
        <f>ТабПозиции[[#This Row],[totalSumm]]-ТабПозиции[[#This Row],[payment]]</f>
        <v>0</v>
      </c>
      <c r="T713" s="18" t="s">
        <v>970</v>
      </c>
      <c r="U713" s="40" t="s">
        <v>545</v>
      </c>
      <c r="V713" s="40" t="s">
        <v>545</v>
      </c>
      <c r="W713" s="40" t="s">
        <v>545</v>
      </c>
      <c r="X713" s="3"/>
      <c r="Y713"/>
    </row>
    <row r="714" spans="1:25" hidden="1" x14ac:dyDescent="0.25">
      <c r="A714" s="10">
        <v>199</v>
      </c>
      <c r="B714" s="1">
        <f>IFERROR(VLOOKUP(ТабПозиции[[#This Row],[orderNum]],ТабЗаказы[#Data],MATCH(B$7,ТабЗаказы[#Headers],0),0),"")</f>
        <v>45511</v>
      </c>
      <c r="C714" t="str">
        <f>MONTH(ТабПозиции[[#This Row],[date]])&amp;"/"&amp;YEAR(ТабПозиции[[#This Row],[date]])</f>
        <v>8/2024</v>
      </c>
      <c r="D714" s="1" t="str">
        <f>IFERROR(VLOOKUP(ТабПозиции[[#This Row],[orderNum]],ТабЗаказы[#Data],MATCH(D$7,ТабЗаказы[#Headers],0),0),"")</f>
        <v/>
      </c>
      <c r="E714" s="1" t="str">
        <f>IFERROR(VLOOKUP(ТабПозиции[[#This Row],[orderNum]],ТабЗаказы[#Data],MATCH(E$7,ТабЗаказы[#Headers],0),0),"")</f>
        <v/>
      </c>
      <c r="F714" s="16" t="s">
        <v>1191</v>
      </c>
      <c r="G714" s="40" t="s">
        <v>545</v>
      </c>
      <c r="I714" s="18">
        <v>45520</v>
      </c>
      <c r="J714" s="10">
        <v>1</v>
      </c>
      <c r="K714" s="10">
        <v>271</v>
      </c>
      <c r="L714">
        <v>271</v>
      </c>
      <c r="M714" s="10">
        <v>279</v>
      </c>
      <c r="N714">
        <f t="shared" si="12"/>
        <v>279</v>
      </c>
      <c r="P7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Row],[orderNum]],ТабПозиции[orderSumm])&gt;1500),ABS(N714*VLOOKUP(ТабПозиции[[#This Row],[orderNum]],ТабЗаказы[#Data],MATCH("Percent",ТабЗаказы[#Headers],0),0))/100,200/COUNTIF(ТабПозиции[orderNum],ТабПозиции[[#This Row],[orderNum]])),0),"")</f>
        <v>42</v>
      </c>
      <c r="Q714">
        <f>IF(OR(ТабПозиции[[#This Row],[item]]="По штрихкоду",ТабПозиции[[#This Row],[item]]="Посылка"),ТабПозиции[[#This Row],[deliverySumm]]+ТабПозиции[[#This Row],[deliveryPost]],SUM(N714:P714))</f>
        <v>321</v>
      </c>
      <c r="R714" s="41">
        <v>321</v>
      </c>
      <c r="S714" s="46">
        <f>ТабПозиции[[#This Row],[totalSumm]]-ТабПозиции[[#This Row],[payment]]</f>
        <v>0</v>
      </c>
      <c r="T714" s="18" t="s">
        <v>960</v>
      </c>
      <c r="U714" s="40" t="s">
        <v>545</v>
      </c>
      <c r="V714" s="40" t="s">
        <v>545</v>
      </c>
      <c r="W714" s="40" t="s">
        <v>545</v>
      </c>
      <c r="X714" s="3"/>
      <c r="Y714"/>
    </row>
    <row r="715" spans="1:25" hidden="1" x14ac:dyDescent="0.25">
      <c r="A715" s="10">
        <v>199</v>
      </c>
      <c r="B715" s="1">
        <f>IFERROR(VLOOKUP(ТабПозиции[[#This Row],[orderNum]],ТабЗаказы[#Data],MATCH(B$7,ТабЗаказы[#Headers],0),0),"")</f>
        <v>45511</v>
      </c>
      <c r="C715" t="str">
        <f>MONTH(ТабПозиции[[#This Row],[date]])&amp;"/"&amp;YEAR(ТабПозиции[[#This Row],[date]])</f>
        <v>8/2024</v>
      </c>
      <c r="D715" s="1" t="str">
        <f>IFERROR(VLOOKUP(ТабПозиции[[#This Row],[orderNum]],ТабЗаказы[#Data],MATCH(D$7,ТабЗаказы[#Headers],0),0),"")</f>
        <v/>
      </c>
      <c r="E715" s="1" t="str">
        <f>IFERROR(VLOOKUP(ТабПозиции[[#This Row],[orderNum]],ТабЗаказы[#Data],MATCH(E$7,ТабЗаказы[#Headers],0),0),"")</f>
        <v/>
      </c>
      <c r="F715" s="16" t="s">
        <v>1192</v>
      </c>
      <c r="G715" s="40" t="s">
        <v>545</v>
      </c>
      <c r="I715" s="18">
        <v>45521</v>
      </c>
      <c r="J715" s="10">
        <v>1</v>
      </c>
      <c r="K715" s="10">
        <v>400</v>
      </c>
      <c r="L715">
        <v>400</v>
      </c>
      <c r="M715" s="10">
        <v>400</v>
      </c>
      <c r="N715">
        <f t="shared" si="12"/>
        <v>400</v>
      </c>
      <c r="O715" s="10">
        <v>150</v>
      </c>
      <c r="P7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Row],[orderNum]],ТабПозиции[orderSumm])&gt;1500),ABS(N715*VLOOKUP(ТабПозиции[[#This Row],[orderNum]],ТабЗаказы[#Data],MATCH("Percent",ТабЗаказы[#Headers],0),0))/100,200/COUNTIF(ТабПозиции[orderNum],ТабПозиции[[#This Row],[orderNum]])),0),"")</f>
        <v>60</v>
      </c>
      <c r="Q715">
        <f>IF(OR(ТабПозиции[[#This Row],[item]]="По штрихкоду",ТабПозиции[[#This Row],[item]]="Посылка"),ТабПозиции[[#This Row],[deliverySumm]]+ТабПозиции[[#This Row],[deliveryPost]],SUM(N715:P715))</f>
        <v>610</v>
      </c>
      <c r="R715" s="41">
        <v>610</v>
      </c>
      <c r="S715" s="46">
        <f>ТабПозиции[[#This Row],[totalSumm]]-ТабПозиции[[#This Row],[payment]]</f>
        <v>0</v>
      </c>
      <c r="T715" s="18"/>
      <c r="U715" s="40" t="s">
        <v>545</v>
      </c>
      <c r="V715" s="40" t="s">
        <v>545</v>
      </c>
      <c r="W715" s="40" t="s">
        <v>545</v>
      </c>
      <c r="X715" s="3"/>
      <c r="Y715"/>
    </row>
    <row r="716" spans="1:25" hidden="1" x14ac:dyDescent="0.25">
      <c r="A716" s="10">
        <v>199</v>
      </c>
      <c r="B716" s="1">
        <f>IFERROR(VLOOKUP(ТабПозиции[[#This Row],[orderNum]],ТабЗаказы[#Data],MATCH(B$7,ТабЗаказы[#Headers],0),0),"")</f>
        <v>45511</v>
      </c>
      <c r="C716" t="str">
        <f>MONTH(ТабПозиции[[#This Row],[date]])&amp;"/"&amp;YEAR(ТабПозиции[[#This Row],[date]])</f>
        <v>8/2024</v>
      </c>
      <c r="D716" s="1" t="str">
        <f>IFERROR(VLOOKUP(ТабПозиции[[#This Row],[orderNum]],ТабЗаказы[#Data],MATCH(D$7,ТабЗаказы[#Headers],0),0),"")</f>
        <v/>
      </c>
      <c r="E716" s="1" t="str">
        <f>IFERROR(VLOOKUP(ТабПозиции[[#This Row],[orderNum]],ТабЗаказы[#Data],MATCH(E$7,ТабЗаказы[#Headers],0),0),"")</f>
        <v/>
      </c>
      <c r="F716" s="16" t="s">
        <v>1193</v>
      </c>
      <c r="G716" s="40" t="s">
        <v>545</v>
      </c>
      <c r="H716" s="12" t="s">
        <v>1194</v>
      </c>
      <c r="I716" s="18">
        <v>45521</v>
      </c>
      <c r="J716" s="10">
        <v>5</v>
      </c>
      <c r="K716" s="10">
        <v>300</v>
      </c>
      <c r="L716">
        <v>1500</v>
      </c>
      <c r="M716" s="10">
        <v>300</v>
      </c>
      <c r="N716">
        <f t="shared" si="12"/>
        <v>1500</v>
      </c>
      <c r="O716" s="10">
        <v>600</v>
      </c>
      <c r="P7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Row],[orderNum]],ТабПозиции[orderSumm])&gt;1500),ABS(N716*VLOOKUP(ТабПозиции[[#This Row],[orderNum]],ТабЗаказы[#Data],MATCH("Percent",ТабЗаказы[#Headers],0),0))/100,200/COUNTIF(ТабПозиции[orderNum],ТабПозиции[[#This Row],[orderNum]])),0),"")</f>
        <v>225</v>
      </c>
      <c r="Q716">
        <f>IF(OR(ТабПозиции[[#This Row],[item]]="По штрихкоду",ТабПозиции[[#This Row],[item]]="Посылка"),ТабПозиции[[#This Row],[deliverySumm]]+ТабПозиции[[#This Row],[deliveryPost]],SUM(N716:P716))</f>
        <v>2325</v>
      </c>
      <c r="R716" s="41">
        <v>2325</v>
      </c>
      <c r="S716" s="46">
        <f>ТабПозиции[[#This Row],[totalSumm]]-ТабПозиции[[#This Row],[payment]]</f>
        <v>0</v>
      </c>
      <c r="T716" s="18" t="s">
        <v>1195</v>
      </c>
      <c r="U716" s="40" t="s">
        <v>545</v>
      </c>
      <c r="V716" s="40" t="s">
        <v>545</v>
      </c>
      <c r="W716" s="40" t="s">
        <v>545</v>
      </c>
      <c r="X716" s="3"/>
      <c r="Y716"/>
    </row>
    <row r="717" spans="1:25" hidden="1" x14ac:dyDescent="0.25">
      <c r="A717" s="10">
        <v>200</v>
      </c>
      <c r="B717" s="1">
        <f>IFERROR(VLOOKUP(ТабПозиции[[#This Row],[orderNum]],ТабЗаказы[#Data],MATCH(B$7,ТабЗаказы[#Headers],0),0),"")</f>
        <v>45511</v>
      </c>
      <c r="C717" t="str">
        <f>MONTH(ТабПозиции[[#This Row],[date]])&amp;"/"&amp;YEAR(ТабПозиции[[#This Row],[date]])</f>
        <v>8/2024</v>
      </c>
      <c r="D717" s="1" t="str">
        <f>IFERROR(VLOOKUP(ТабПозиции[[#This Row],[orderNum]],ТабЗаказы[#Data],MATCH(D$7,ТабЗаказы[#Headers],0),0),"")</f>
        <v/>
      </c>
      <c r="E717" s="1" t="str">
        <f>IFERROR(VLOOKUP(ТабПозиции[[#This Row],[orderNum]],ТабЗаказы[#Data],MATCH(E$7,ТабЗаказы[#Headers],0),0),"")</f>
        <v/>
      </c>
      <c r="F717" s="16" t="s">
        <v>978</v>
      </c>
      <c r="G717" s="40" t="s">
        <v>545</v>
      </c>
      <c r="I717" s="18">
        <v>45516</v>
      </c>
      <c r="J717" s="10">
        <v>1</v>
      </c>
      <c r="K717" s="10">
        <v>3708</v>
      </c>
      <c r="L717">
        <v>3708</v>
      </c>
      <c r="M717" s="10">
        <v>4031</v>
      </c>
      <c r="N717">
        <f t="shared" si="12"/>
        <v>4031</v>
      </c>
      <c r="P7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Row],[orderNum]],ТабПозиции[orderSumm])&gt;1500),ABS(N717*VLOOKUP(ТабПозиции[[#This Row],[orderNum]],ТабЗаказы[#Data],MATCH("Percent",ТабЗаказы[#Headers],0),0))/100,200/COUNTIF(ТабПозиции[orderNum],ТабПозиции[[#This Row],[orderNum]])),0),"")</f>
        <v>605</v>
      </c>
      <c r="Q717">
        <f>IF(OR(ТабПозиции[[#This Row],[item]]="По штрихкоду",ТабПозиции[[#This Row],[item]]="Посылка"),ТабПозиции[[#This Row],[deliverySumm]]+ТабПозиции[[#This Row],[deliveryPost]],SUM(N717:P717))</f>
        <v>4636</v>
      </c>
      <c r="R717" s="41">
        <v>4636</v>
      </c>
      <c r="S717" s="46">
        <f>ТабПозиции[[#This Row],[totalSumm]]-ТабПозиции[[#This Row],[payment]]</f>
        <v>0</v>
      </c>
      <c r="T717" s="18" t="s">
        <v>970</v>
      </c>
      <c r="U717" s="40" t="s">
        <v>545</v>
      </c>
      <c r="V717" s="40" t="s">
        <v>545</v>
      </c>
      <c r="W717" s="40" t="s">
        <v>545</v>
      </c>
      <c r="X717" s="3"/>
      <c r="Y717"/>
    </row>
    <row r="718" spans="1:25" hidden="1" x14ac:dyDescent="0.25">
      <c r="A718" s="10">
        <v>201</v>
      </c>
      <c r="B718" s="1">
        <f>IFERROR(VLOOKUP(ТабПозиции[[#This Row],[orderNum]],ТабЗаказы[#Data],MATCH(B$7,ТабЗаказы[#Headers],0),0),"")</f>
        <v>45512</v>
      </c>
      <c r="C718" t="str">
        <f>MONTH(ТабПозиции[[#This Row],[date]])&amp;"/"&amp;YEAR(ТабПозиции[[#This Row],[date]])</f>
        <v>8/2024</v>
      </c>
      <c r="D718" s="1" t="str">
        <f>IFERROR(VLOOKUP(ТабПозиции[[#This Row],[orderNum]],ТабЗаказы[#Data],MATCH(D$7,ТабЗаказы[#Headers],0),0),"")</f>
        <v/>
      </c>
      <c r="E718" s="1" t="str">
        <f>IFERROR(VLOOKUP(ТабПозиции[[#This Row],[orderNum]],ТабЗаказы[#Data],MATCH(E$7,ТабЗаказы[#Headers],0),0),"")</f>
        <v/>
      </c>
      <c r="F718" s="10" t="s">
        <v>820</v>
      </c>
      <c r="G718" s="40" t="s">
        <v>545</v>
      </c>
      <c r="H718" s="12" t="s">
        <v>1196</v>
      </c>
      <c r="I718" s="18">
        <v>45513</v>
      </c>
      <c r="J718" s="10">
        <v>1</v>
      </c>
      <c r="K718" s="10">
        <v>35000</v>
      </c>
      <c r="L718">
        <v>35000</v>
      </c>
      <c r="M718" s="10">
        <v>35000</v>
      </c>
      <c r="N718">
        <f t="shared" si="12"/>
        <v>35000</v>
      </c>
      <c r="O718" s="10">
        <v>200</v>
      </c>
      <c r="P7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Row],[orderNum]],ТабПозиции[orderSumm])&gt;1500),ABS(N718*VLOOKUP(ТабПозиции[[#This Row],[orderNum]],ТабЗаказы[#Data],MATCH("Percent",ТабЗаказы[#Headers],0),0))/100,200/COUNTIF(ТабПозиции[orderNum],ТабПозиции[[#This Row],[orderNum]])),0),"")</f>
        <v>3500</v>
      </c>
      <c r="Q718">
        <f>IF(OR(ТабПозиции[[#This Row],[item]]="По штрихкоду",ТабПозиции[[#This Row],[item]]="Посылка"),ТабПозиции[[#This Row],[deliverySumm]]+ТабПозиции[[#This Row],[deliveryPost]],SUM(N718:P718))</f>
        <v>3700</v>
      </c>
      <c r="R718" s="41">
        <v>3700</v>
      </c>
      <c r="S718" s="46">
        <f>ТабПозиции[[#This Row],[totalSumm]]-ТабПозиции[[#This Row],[payment]]</f>
        <v>0</v>
      </c>
      <c r="T718" s="18" t="s">
        <v>1021</v>
      </c>
      <c r="U718" s="40" t="s">
        <v>545</v>
      </c>
      <c r="V718" s="40" t="s">
        <v>545</v>
      </c>
      <c r="W718" s="40" t="s">
        <v>545</v>
      </c>
      <c r="X718" s="3"/>
      <c r="Y718"/>
    </row>
    <row r="719" spans="1:25" hidden="1" x14ac:dyDescent="0.25">
      <c r="A719" s="10">
        <v>202</v>
      </c>
      <c r="B719" s="1">
        <f>IFERROR(VLOOKUP(ТабПозиции[[#This Row],[orderNum]],ТабЗаказы[#Data],MATCH(B$7,ТабЗаказы[#Headers],0),0),"")</f>
        <v>45512</v>
      </c>
      <c r="C719" t="str">
        <f>MONTH(ТабПозиции[[#This Row],[date]])&amp;"/"&amp;YEAR(ТабПозиции[[#This Row],[date]])</f>
        <v>8/2024</v>
      </c>
      <c r="D719" s="1" t="str">
        <f>IFERROR(VLOOKUP(ТабПозиции[[#This Row],[orderNum]],ТабЗаказы[#Data],MATCH(D$7,ТабЗаказы[#Headers],0),0),"")</f>
        <v/>
      </c>
      <c r="E719" s="1" t="str">
        <f>IFERROR(VLOOKUP(ТабПозиции[[#This Row],[orderNum]],ТабЗаказы[#Data],MATCH(E$7,ТабЗаказы[#Headers],0),0),"")</f>
        <v/>
      </c>
      <c r="F719" s="10" t="s">
        <v>32</v>
      </c>
      <c r="G719" s="40" t="s">
        <v>545</v>
      </c>
      <c r="I719" s="18">
        <v>45513</v>
      </c>
      <c r="J719" s="10">
        <v>1</v>
      </c>
      <c r="K719" s="10">
        <v>4557</v>
      </c>
      <c r="L719">
        <v>4557</v>
      </c>
      <c r="M719" s="10">
        <v>4557</v>
      </c>
      <c r="N719">
        <f t="shared" si="12"/>
        <v>4557</v>
      </c>
      <c r="P7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Row],[orderNum]],ТабПозиции[orderSumm])&gt;1500),ABS(N719*VLOOKUP(ТабПозиции[[#This Row],[orderNum]],ТабЗаказы[#Data],MATCH("Percent",ТабЗаказы[#Headers],0),0))/100,200/COUNTIF(ТабПозиции[orderNum],ТабПозиции[[#This Row],[orderNum]])),0),"")</f>
        <v>684</v>
      </c>
      <c r="Q719">
        <f>IF(OR(ТабПозиции[[#This Row],[item]]="По штрихкоду",ТабПозиции[[#This Row],[item]]="Посылка"),ТабПозиции[[#This Row],[deliverySumm]]+ТабПозиции[[#This Row],[deliveryPost]],SUM(N719:P719))</f>
        <v>684</v>
      </c>
      <c r="R719" s="41">
        <v>684</v>
      </c>
      <c r="S719" s="46">
        <f>ТабПозиции[[#This Row],[totalSumm]]-ТабПозиции[[#This Row],[payment]]</f>
        <v>0</v>
      </c>
      <c r="T719" s="18" t="s">
        <v>548</v>
      </c>
      <c r="U719" s="40" t="s">
        <v>545</v>
      </c>
      <c r="V719" s="40" t="s">
        <v>545</v>
      </c>
      <c r="W719" s="40" t="s">
        <v>545</v>
      </c>
      <c r="X719" s="3"/>
      <c r="Y719"/>
    </row>
    <row r="720" spans="1:25" hidden="1" x14ac:dyDescent="0.25">
      <c r="A720" s="10">
        <v>203</v>
      </c>
      <c r="B720" s="1">
        <f>IFERROR(VLOOKUP(ТабПозиции[[#This Row],[orderNum]],ТабЗаказы[#Data],MATCH(B$7,ТабЗаказы[#Headers],0),0),"")</f>
        <v>45513</v>
      </c>
      <c r="C720" t="str">
        <f>MONTH(ТабПозиции[[#This Row],[date]])&amp;"/"&amp;YEAR(ТабПозиции[[#This Row],[date]])</f>
        <v>8/2024</v>
      </c>
      <c r="D720" s="1" t="str">
        <f>IFERROR(VLOOKUP(ТабПозиции[[#This Row],[orderNum]],ТабЗаказы[#Data],MATCH(D$7,ТабЗаказы[#Headers],0),0),"")</f>
        <v/>
      </c>
      <c r="E720" s="1" t="str">
        <f>IFERROR(VLOOKUP(ТабПозиции[[#This Row],[orderNum]],ТабЗаказы[#Data],MATCH(E$7,ТабЗаказы[#Headers],0),0),"")</f>
        <v/>
      </c>
      <c r="F720" s="10" t="s">
        <v>32</v>
      </c>
      <c r="G720" s="40" t="s">
        <v>545</v>
      </c>
      <c r="I720" s="18">
        <v>45513</v>
      </c>
      <c r="J720" s="10">
        <v>1</v>
      </c>
      <c r="K720" s="10">
        <v>5926</v>
      </c>
      <c r="L720">
        <v>5926</v>
      </c>
      <c r="M720" s="10">
        <v>5926</v>
      </c>
      <c r="N720">
        <f t="shared" si="12"/>
        <v>5926</v>
      </c>
      <c r="P7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Row],[orderNum]],ТабПозиции[orderSumm])&gt;1500),ABS(N720*VLOOKUP(ТабПозиции[[#This Row],[orderNum]],ТабЗаказы[#Data],MATCH("Percent",ТабЗаказы[#Headers],0),0))/100,200/COUNTIF(ТабПозиции[orderNum],ТабПозиции[[#This Row],[orderNum]])),0),"")</f>
        <v>889</v>
      </c>
      <c r="Q720">
        <f>IF(OR(ТабПозиции[[#This Row],[item]]="По штрихкоду",ТабПозиции[[#This Row],[item]]="Посылка"),ТабПозиции[[#This Row],[deliverySumm]]+ТабПозиции[[#This Row],[deliveryPost]],SUM(N720:P720))</f>
        <v>889</v>
      </c>
      <c r="R720" s="41">
        <v>889</v>
      </c>
      <c r="S720" s="46">
        <f>ТабПозиции[[#This Row],[totalSumm]]-ТабПозиции[[#This Row],[payment]]</f>
        <v>0</v>
      </c>
      <c r="T720" s="18" t="s">
        <v>548</v>
      </c>
      <c r="U720" s="40" t="s">
        <v>545</v>
      </c>
      <c r="V720" s="40" t="s">
        <v>545</v>
      </c>
      <c r="W720" s="40" t="s">
        <v>545</v>
      </c>
      <c r="X720" s="3"/>
      <c r="Y720"/>
    </row>
    <row r="721" spans="1:25" hidden="1" x14ac:dyDescent="0.25">
      <c r="A721" s="10">
        <v>199</v>
      </c>
      <c r="B721" s="1">
        <f>IFERROR(VLOOKUP(ТабПозиции[[#This Row],[orderNum]],ТабЗаказы[#Data],MATCH(B$7,ТабЗаказы[#Headers],0),0),"")</f>
        <v>45511</v>
      </c>
      <c r="C721" t="str">
        <f>MONTH(ТабПозиции[[#This Row],[date]])&amp;"/"&amp;YEAR(ТабПозиции[[#This Row],[date]])</f>
        <v>8/2024</v>
      </c>
      <c r="D721" s="1" t="str">
        <f>IFERROR(VLOOKUP(ТабПозиции[[#This Row],[orderNum]],ТабЗаказы[#Data],MATCH(D$7,ТабЗаказы[#Headers],0),0),"")</f>
        <v/>
      </c>
      <c r="E721" s="1" t="str">
        <f>IFERROR(VLOOKUP(ТабПозиции[[#This Row],[orderNum]],ТабЗаказы[#Data],MATCH(E$7,ТабЗаказы[#Headers],0),0),"")</f>
        <v/>
      </c>
      <c r="F721" s="10" t="s">
        <v>1197</v>
      </c>
      <c r="G721" s="40" t="s">
        <v>545</v>
      </c>
      <c r="I721" s="18">
        <v>45514</v>
      </c>
      <c r="J721" s="10">
        <v>1</v>
      </c>
      <c r="K721" s="10">
        <v>250</v>
      </c>
      <c r="L721">
        <v>250</v>
      </c>
      <c r="M721" s="10">
        <v>250</v>
      </c>
      <c r="N721">
        <f t="shared" si="12"/>
        <v>250</v>
      </c>
      <c r="Q721">
        <f>IF(OR(ТабПозиции[[#This Row],[item]]="По штрихкоду",ТабПозиции[[#This Row],[item]]="Посылка"),ТабПозиции[[#This Row],[deliverySumm]]+ТабПозиции[[#This Row],[deliveryPost]],SUM(N721:P721))</f>
        <v>250</v>
      </c>
      <c r="R721" s="41">
        <v>250</v>
      </c>
      <c r="S721" s="46">
        <f>ТабПозиции[[#This Row],[totalSumm]]-ТабПозиции[[#This Row],[payment]]</f>
        <v>0</v>
      </c>
      <c r="T721" s="18"/>
      <c r="U721" s="40" t="s">
        <v>545</v>
      </c>
      <c r="V721" s="40" t="s">
        <v>545</v>
      </c>
      <c r="W721" s="40" t="s">
        <v>545</v>
      </c>
      <c r="X721" s="3"/>
      <c r="Y721"/>
    </row>
    <row r="722" spans="1:25" hidden="1" x14ac:dyDescent="0.25">
      <c r="A722" s="10">
        <v>204</v>
      </c>
      <c r="B722" s="1">
        <f>IFERROR(VLOOKUP(ТабПозиции[[#This Row],[orderNum]],ТабЗаказы[#Data],MATCH(B$7,ТабЗаказы[#Headers],0),0),"")</f>
        <v>45514</v>
      </c>
      <c r="C722" t="str">
        <f>MONTH(ТабПозиции[[#This Row],[date]])&amp;"/"&amp;YEAR(ТабПозиции[[#This Row],[date]])</f>
        <v>8/2024</v>
      </c>
      <c r="D722" s="1" t="str">
        <f>IFERROR(VLOOKUP(ТабПозиции[[#This Row],[orderNum]],ТабЗаказы[#Data],MATCH(D$7,ТабЗаказы[#Headers],0),0),"")</f>
        <v/>
      </c>
      <c r="E722" s="1" t="str">
        <f>IFERROR(VLOOKUP(ТабПозиции[[#This Row],[orderNum]],ТабЗаказы[#Data],MATCH(E$7,ТабЗаказы[#Headers],0),0),"")</f>
        <v/>
      </c>
      <c r="F722" s="10" t="s">
        <v>820</v>
      </c>
      <c r="G722" s="40" t="s">
        <v>545</v>
      </c>
      <c r="H722" s="12" t="s">
        <v>1198</v>
      </c>
      <c r="I722" s="18">
        <v>45520</v>
      </c>
      <c r="J722" s="10">
        <v>1</v>
      </c>
      <c r="K722" s="10">
        <v>2800</v>
      </c>
      <c r="L722">
        <v>2800</v>
      </c>
      <c r="M722" s="10">
        <v>2800</v>
      </c>
      <c r="N722">
        <f t="shared" si="12"/>
        <v>2800</v>
      </c>
      <c r="P7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Row],[orderNum]],ТабПозиции[orderSumm])&gt;1500),ABS(N722*VLOOKUP(ТабПозиции[[#This Row],[orderNum]],ТабЗаказы[#Data],MATCH("Percent",ТабЗаказы[#Headers],0),0))/100,200/COUNTIF(ТабПозиции[orderNum],ТабПозиции[[#This Row],[orderNum]])),0),"")</f>
        <v>280</v>
      </c>
      <c r="Q722">
        <f>IF(OR(ТабПозиции[[#This Row],[item]]="По штрихкоду",ТабПозиции[[#This Row],[item]]="Посылка"),ТабПозиции[[#This Row],[deliverySumm]]+ТабПозиции[[#This Row],[deliveryPost]],SUM(N722:P722))</f>
        <v>280</v>
      </c>
      <c r="R722" s="41">
        <v>280</v>
      </c>
      <c r="S722" s="46">
        <f>ТабПозиции[[#This Row],[totalSumm]]-ТабПозиции[[#This Row],[payment]]</f>
        <v>0</v>
      </c>
      <c r="T722" s="18" t="s">
        <v>1021</v>
      </c>
      <c r="U722" s="40" t="s">
        <v>545</v>
      </c>
      <c r="V722" s="40" t="s">
        <v>545</v>
      </c>
      <c r="W722" s="40" t="s">
        <v>545</v>
      </c>
      <c r="X722" s="3"/>
      <c r="Y722"/>
    </row>
    <row r="723" spans="1:25" hidden="1" x14ac:dyDescent="0.25">
      <c r="A723" s="10">
        <v>204</v>
      </c>
      <c r="B723" s="1">
        <f>IFERROR(VLOOKUP(ТабПозиции[[#This Row],[orderNum]],ТабЗаказы[#Data],MATCH(B$7,ТабЗаказы[#Headers],0),0),"")</f>
        <v>45514</v>
      </c>
      <c r="C723" t="str">
        <f>MONTH(ТабПозиции[[#This Row],[date]])&amp;"/"&amp;YEAR(ТабПозиции[[#This Row],[date]])</f>
        <v>8/2024</v>
      </c>
      <c r="D723" s="1" t="str">
        <f>IFERROR(VLOOKUP(ТабПозиции[[#This Row],[orderNum]],ТабЗаказы[#Data],MATCH(D$7,ТабЗаказы[#Headers],0),0),"")</f>
        <v/>
      </c>
      <c r="E723" s="1" t="str">
        <f>IFERROR(VLOOKUP(ТабПозиции[[#This Row],[orderNum]],ТабЗаказы[#Data],MATCH(E$7,ТабЗаказы[#Headers],0),0),"")</f>
        <v/>
      </c>
      <c r="F723" s="10" t="s">
        <v>820</v>
      </c>
      <c r="G723" s="40" t="s">
        <v>545</v>
      </c>
      <c r="H723" s="12" t="s">
        <v>1199</v>
      </c>
      <c r="I723" s="18">
        <v>45519</v>
      </c>
      <c r="J723" s="10">
        <v>1</v>
      </c>
      <c r="K723" s="10">
        <v>4000</v>
      </c>
      <c r="L723">
        <v>4000</v>
      </c>
      <c r="M723" s="10">
        <v>4000</v>
      </c>
      <c r="N723">
        <f t="shared" si="12"/>
        <v>4000</v>
      </c>
      <c r="P7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Row],[orderNum]],ТабПозиции[orderSumm])&gt;1500),ABS(N723*VLOOKUP(ТабПозиции[[#This Row],[orderNum]],ТабЗаказы[#Data],MATCH("Percent",ТабЗаказы[#Headers],0),0))/100,200/COUNTIF(ТабПозиции[orderNum],ТабПозиции[[#This Row],[orderNum]])),0),"")</f>
        <v>400</v>
      </c>
      <c r="Q723">
        <f>IF(OR(ТабПозиции[[#This Row],[item]]="По штрихкоду",ТабПозиции[[#This Row],[item]]="Посылка"),ТабПозиции[[#This Row],[deliverySumm]]+ТабПозиции[[#This Row],[deliveryPost]],SUM(N723:P723))</f>
        <v>400</v>
      </c>
      <c r="R723" s="41">
        <v>400</v>
      </c>
      <c r="S723" s="46">
        <f>ТабПозиции[[#This Row],[totalSumm]]-ТабПозиции[[#This Row],[payment]]</f>
        <v>0</v>
      </c>
      <c r="T723" s="18" t="s">
        <v>1021</v>
      </c>
      <c r="U723" s="40" t="s">
        <v>545</v>
      </c>
      <c r="V723" s="40" t="s">
        <v>545</v>
      </c>
      <c r="W723" s="40" t="s">
        <v>545</v>
      </c>
      <c r="X723" s="3"/>
      <c r="Y723"/>
    </row>
    <row r="724" spans="1:25" hidden="1" x14ac:dyDescent="0.25">
      <c r="A724" s="10">
        <v>204</v>
      </c>
      <c r="B724" s="1">
        <f>IFERROR(VLOOKUP(ТабПозиции[[#This Row],[orderNum]],ТабЗаказы[#Data],MATCH(B$7,ТабЗаказы[#Headers],0),0),"")</f>
        <v>45514</v>
      </c>
      <c r="C724" t="str">
        <f>MONTH(ТабПозиции[[#This Row],[date]])&amp;"/"&amp;YEAR(ТабПозиции[[#This Row],[date]])</f>
        <v>8/2024</v>
      </c>
      <c r="D724" s="1" t="str">
        <f>IFERROR(VLOOKUP(ТабПозиции[[#This Row],[orderNum]],ТабЗаказы[#Data],MATCH(D$7,ТабЗаказы[#Headers],0),0),"")</f>
        <v/>
      </c>
      <c r="E724" s="1" t="str">
        <f>IFERROR(VLOOKUP(ТабПозиции[[#This Row],[orderNum]],ТабЗаказы[#Data],MATCH(E$7,ТабЗаказы[#Headers],0),0),"")</f>
        <v/>
      </c>
      <c r="F724" s="10" t="s">
        <v>820</v>
      </c>
      <c r="G724" s="40" t="s">
        <v>545</v>
      </c>
      <c r="H724" s="12" t="s">
        <v>1200</v>
      </c>
      <c r="I724" s="18">
        <v>45519</v>
      </c>
      <c r="J724" s="10">
        <v>1</v>
      </c>
      <c r="K724" s="10">
        <v>3090</v>
      </c>
      <c r="L724">
        <v>3090</v>
      </c>
      <c r="M724" s="10">
        <v>3090</v>
      </c>
      <c r="N724">
        <f t="shared" si="12"/>
        <v>3090</v>
      </c>
      <c r="P7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Row],[orderNum]],ТабПозиции[orderSumm])&gt;1500),ABS(N724*VLOOKUP(ТабПозиции[[#This Row],[orderNum]],ТабЗаказы[#Data],MATCH("Percent",ТабЗаказы[#Headers],0),0))/100,200/COUNTIF(ТабПозиции[orderNum],ТабПозиции[[#This Row],[orderNum]])),0),"")</f>
        <v>309</v>
      </c>
      <c r="Q724">
        <f>IF(OR(ТабПозиции[[#This Row],[item]]="По штрихкоду",ТабПозиции[[#This Row],[item]]="Посылка"),ТабПозиции[[#This Row],[deliverySumm]]+ТабПозиции[[#This Row],[deliveryPost]],SUM(N724:P724))</f>
        <v>309</v>
      </c>
      <c r="R724" s="41">
        <v>309</v>
      </c>
      <c r="S724" s="46">
        <f>ТабПозиции[[#This Row],[totalSumm]]-ТабПозиции[[#This Row],[payment]]</f>
        <v>0</v>
      </c>
      <c r="T724" s="18" t="s">
        <v>1021</v>
      </c>
      <c r="U724" s="40" t="s">
        <v>545</v>
      </c>
      <c r="V724" s="40" t="s">
        <v>545</v>
      </c>
      <c r="W724" s="40" t="s">
        <v>545</v>
      </c>
      <c r="X724" s="3"/>
      <c r="Y724"/>
    </row>
    <row r="725" spans="1:25" hidden="1" x14ac:dyDescent="0.25">
      <c r="A725" s="10">
        <v>204</v>
      </c>
      <c r="B725" s="1">
        <f>IFERROR(VLOOKUP(ТабПозиции[[#This Row],[orderNum]],ТабЗаказы[#Data],MATCH(B$7,ТабЗаказы[#Headers],0),0),"")</f>
        <v>45514</v>
      </c>
      <c r="C725" t="str">
        <f>MONTH(ТабПозиции[[#This Row],[date]])&amp;"/"&amp;YEAR(ТабПозиции[[#This Row],[date]])</f>
        <v>8/2024</v>
      </c>
      <c r="D725" s="1" t="str">
        <f>IFERROR(VLOOKUP(ТабПозиции[[#This Row],[orderNum]],ТабЗаказы[#Data],MATCH(D$7,ТабЗаказы[#Headers],0),0),"")</f>
        <v/>
      </c>
      <c r="E725" s="1" t="str">
        <f>IFERROR(VLOOKUP(ТабПозиции[[#This Row],[orderNum]],ТабЗаказы[#Data],MATCH(E$7,ТабЗаказы[#Headers],0),0),"")</f>
        <v/>
      </c>
      <c r="F725" s="10" t="s">
        <v>820</v>
      </c>
      <c r="G725" s="40" t="s">
        <v>545</v>
      </c>
      <c r="H725" s="12" t="s">
        <v>1201</v>
      </c>
      <c r="I725" s="18">
        <v>45518</v>
      </c>
      <c r="J725" s="10">
        <v>1</v>
      </c>
      <c r="K725" s="10">
        <v>5400</v>
      </c>
      <c r="L725">
        <v>5400</v>
      </c>
      <c r="M725" s="10">
        <v>5400</v>
      </c>
      <c r="N725">
        <f t="shared" si="12"/>
        <v>5400</v>
      </c>
      <c r="P7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Row],[orderNum]],ТабПозиции[orderSumm])&gt;1500),ABS(N725*VLOOKUP(ТабПозиции[[#This Row],[orderNum]],ТабЗаказы[#Data],MATCH("Percent",ТабЗаказы[#Headers],0),0))/100,200/COUNTIF(ТабПозиции[orderNum],ТабПозиции[[#This Row],[orderNum]])),0),"")</f>
        <v>540</v>
      </c>
      <c r="Q725">
        <f>IF(OR(ТабПозиции[[#This Row],[item]]="По штрихкоду",ТабПозиции[[#This Row],[item]]="Посылка"),ТабПозиции[[#This Row],[deliverySumm]]+ТабПозиции[[#This Row],[deliveryPost]],SUM(N725:P725))</f>
        <v>540</v>
      </c>
      <c r="R725" s="41">
        <v>540</v>
      </c>
      <c r="S725" s="46">
        <f>ТабПозиции[[#This Row],[totalSumm]]-ТабПозиции[[#This Row],[payment]]</f>
        <v>0</v>
      </c>
      <c r="T725" s="18" t="s">
        <v>1067</v>
      </c>
      <c r="U725" s="40" t="s">
        <v>545</v>
      </c>
      <c r="V725" s="40" t="s">
        <v>545</v>
      </c>
      <c r="W725" s="40" t="s">
        <v>545</v>
      </c>
      <c r="X725" s="3"/>
      <c r="Y725"/>
    </row>
    <row r="726" spans="1:25" hidden="1" x14ac:dyDescent="0.25">
      <c r="A726" s="10">
        <v>204</v>
      </c>
      <c r="B726" s="1">
        <f>IFERROR(VLOOKUP(ТабПозиции[[#This Row],[orderNum]],ТабЗаказы[#Data],MATCH(B$7,ТабЗаказы[#Headers],0),0),"")</f>
        <v>45514</v>
      </c>
      <c r="C726" t="str">
        <f>MONTH(ТабПозиции[[#This Row],[date]])&amp;"/"&amp;YEAR(ТабПозиции[[#This Row],[date]])</f>
        <v>8/2024</v>
      </c>
      <c r="D726" s="1" t="str">
        <f>IFERROR(VLOOKUP(ТабПозиции[[#This Row],[orderNum]],ТабЗаказы[#Data],MATCH(D$7,ТабЗаказы[#Headers],0),0),"")</f>
        <v/>
      </c>
      <c r="E726" s="1" t="str">
        <f>IFERROR(VLOOKUP(ТабПозиции[[#This Row],[orderNum]],ТабЗаказы[#Data],MATCH(E$7,ТабЗаказы[#Headers],0),0),"")</f>
        <v/>
      </c>
      <c r="F726" s="10" t="s">
        <v>820</v>
      </c>
      <c r="G726" s="40" t="s">
        <v>545</v>
      </c>
      <c r="H726" s="12" t="s">
        <v>1202</v>
      </c>
      <c r="I726" s="18">
        <v>45517</v>
      </c>
      <c r="J726" s="10">
        <v>1</v>
      </c>
      <c r="K726" s="10">
        <v>12990</v>
      </c>
      <c r="L726">
        <v>12990</v>
      </c>
      <c r="M726" s="10">
        <v>12990</v>
      </c>
      <c r="N726">
        <f t="shared" si="12"/>
        <v>12990</v>
      </c>
      <c r="O726" s="10">
        <v>480.75</v>
      </c>
      <c r="P7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Row],[orderNum]],ТабПозиции[orderSumm])&gt;1500),ABS(N726*VLOOKUP(ТабПозиции[[#This Row],[orderNum]],ТабЗаказы[#Data],MATCH("Percent",ТабЗаказы[#Headers],0),0))/100,200/COUNTIF(ТабПозиции[orderNum],ТабПозиции[[#This Row],[orderNum]])),0),"")</f>
        <v>1299</v>
      </c>
      <c r="Q726">
        <f>IF(OR(ТабПозиции[[#This Row],[item]]="По штрихкоду",ТабПозиции[[#This Row],[item]]="Посылка"),ТабПозиции[[#This Row],[deliverySumm]]+ТабПозиции[[#This Row],[deliveryPost]],SUM(N726:P726))</f>
        <v>1779.75</v>
      </c>
      <c r="R726" s="41">
        <v>1779.75</v>
      </c>
      <c r="S726" s="46">
        <f>ТабПозиции[[#This Row],[totalSumm]]-ТабПозиции[[#This Row],[payment]]</f>
        <v>0</v>
      </c>
      <c r="T726" s="18" t="s">
        <v>1021</v>
      </c>
      <c r="U726" s="40" t="s">
        <v>545</v>
      </c>
      <c r="V726" s="40" t="s">
        <v>545</v>
      </c>
      <c r="W726" s="40" t="s">
        <v>545</v>
      </c>
      <c r="X726" s="3"/>
      <c r="Y726"/>
    </row>
    <row r="727" spans="1:25" hidden="1" x14ac:dyDescent="0.25">
      <c r="A727" s="10">
        <v>204</v>
      </c>
      <c r="B727" s="1">
        <f>IFERROR(VLOOKUP(ТабПозиции[[#This Row],[orderNum]],ТабЗаказы[#Data],MATCH(B$7,ТабЗаказы[#Headers],0),0),"")</f>
        <v>45514</v>
      </c>
      <c r="C727" t="str">
        <f>MONTH(ТабПозиции[[#This Row],[date]])&amp;"/"&amp;YEAR(ТабПозиции[[#This Row],[date]])</f>
        <v>8/2024</v>
      </c>
      <c r="D727" s="1" t="str">
        <f>IFERROR(VLOOKUP(ТабПозиции[[#This Row],[orderNum]],ТабЗаказы[#Data],MATCH(D$7,ТабЗаказы[#Headers],0),0),"")</f>
        <v/>
      </c>
      <c r="E727" s="1" t="str">
        <f>IFERROR(VLOOKUP(ТабПозиции[[#This Row],[orderNum]],ТабЗаказы[#Data],MATCH(E$7,ТабЗаказы[#Headers],0),0),"")</f>
        <v/>
      </c>
      <c r="F727" s="10" t="s">
        <v>820</v>
      </c>
      <c r="G727" s="40" t="s">
        <v>545</v>
      </c>
      <c r="H727" s="12" t="s">
        <v>1203</v>
      </c>
      <c r="I727" s="18">
        <v>45521</v>
      </c>
      <c r="J727" s="10">
        <v>1</v>
      </c>
      <c r="K727" s="10">
        <v>15990</v>
      </c>
      <c r="L727">
        <v>15990</v>
      </c>
      <c r="M727" s="10">
        <v>15990</v>
      </c>
      <c r="N727">
        <f t="shared" si="12"/>
        <v>15990</v>
      </c>
      <c r="P7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Row],[orderNum]],ТабПозиции[orderSumm])&gt;1500),ABS(N727*VLOOKUP(ТабПозиции[[#This Row],[orderNum]],ТабЗаказы[#Data],MATCH("Percent",ТабЗаказы[#Headers],0),0))/100,200/COUNTIF(ТабПозиции[orderNum],ТабПозиции[[#This Row],[orderNum]])),0),"")</f>
        <v>1599</v>
      </c>
      <c r="Q727">
        <f>IF(OR(ТабПозиции[[#This Row],[item]]="По штрихкоду",ТабПозиции[[#This Row],[item]]="Посылка"),ТабПозиции[[#This Row],[deliverySumm]]+ТабПозиции[[#This Row],[deliveryPost]],SUM(N727:P727))</f>
        <v>1599</v>
      </c>
      <c r="R727" s="41">
        <v>1599</v>
      </c>
      <c r="S727" s="46">
        <f>ТабПозиции[[#This Row],[totalSumm]]-ТабПозиции[[#This Row],[payment]]</f>
        <v>0</v>
      </c>
      <c r="T727" s="18" t="s">
        <v>1021</v>
      </c>
      <c r="U727" s="40" t="s">
        <v>545</v>
      </c>
      <c r="V727" s="40" t="s">
        <v>545</v>
      </c>
      <c r="W727" s="40" t="s">
        <v>545</v>
      </c>
      <c r="X727" s="3"/>
      <c r="Y727"/>
    </row>
    <row r="728" spans="1:25" hidden="1" x14ac:dyDescent="0.25">
      <c r="A728" s="10">
        <v>204</v>
      </c>
      <c r="B728" s="1">
        <f>IFERROR(VLOOKUP(ТабПозиции[[#This Row],[orderNum]],ТабЗаказы[#Data],MATCH(B$7,ТабЗаказы[#Headers],0),0),"")</f>
        <v>45514</v>
      </c>
      <c r="C728" t="str">
        <f>MONTH(ТабПозиции[[#This Row],[date]])&amp;"/"&amp;YEAR(ТабПозиции[[#This Row],[date]])</f>
        <v>8/2024</v>
      </c>
      <c r="D728" s="1" t="str">
        <f>IFERROR(VLOOKUP(ТабПозиции[[#This Row],[orderNum]],ТабЗаказы[#Data],MATCH(D$7,ТабЗаказы[#Headers],0),0),"")</f>
        <v/>
      </c>
      <c r="E728" s="1" t="str">
        <f>IFERROR(VLOOKUP(ТабПозиции[[#This Row],[orderNum]],ТабЗаказы[#Data],MATCH(E$7,ТабЗаказы[#Headers],0),0),"")</f>
        <v/>
      </c>
      <c r="F728" s="10" t="s">
        <v>820</v>
      </c>
      <c r="G728" s="40" t="s">
        <v>545</v>
      </c>
      <c r="H728" s="12" t="s">
        <v>1204</v>
      </c>
      <c r="I728" s="18">
        <v>45517</v>
      </c>
      <c r="J728" s="10">
        <v>1</v>
      </c>
      <c r="K728" s="10">
        <v>6000</v>
      </c>
      <c r="L728">
        <v>6000</v>
      </c>
      <c r="M728" s="10">
        <v>6000</v>
      </c>
      <c r="N728">
        <f t="shared" si="12"/>
        <v>6000</v>
      </c>
      <c r="O728" s="10">
        <v>748</v>
      </c>
      <c r="P7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Row],[orderNum]],ТабПозиции[orderSumm])&gt;1500),ABS(N728*VLOOKUP(ТабПозиции[[#This Row],[orderNum]],ТабЗаказы[#Data],MATCH("Percent",ТабЗаказы[#Headers],0),0))/100,200/COUNTIF(ТабПозиции[orderNum],ТабПозиции[[#This Row],[orderNum]])),0),"")</f>
        <v>600</v>
      </c>
      <c r="Q728">
        <f>IF(OR(ТабПозиции[[#This Row],[item]]="По штрихкоду",ТабПозиции[[#This Row],[item]]="Посылка"),ТабПозиции[[#This Row],[deliverySumm]]+ТабПозиции[[#This Row],[deliveryPost]],SUM(N728:P728))</f>
        <v>1348</v>
      </c>
      <c r="R728" s="41">
        <v>1348</v>
      </c>
      <c r="S728" s="46">
        <f>ТабПозиции[[#This Row],[totalSumm]]-ТабПозиции[[#This Row],[payment]]</f>
        <v>0</v>
      </c>
      <c r="T728" s="18" t="s">
        <v>1067</v>
      </c>
      <c r="U728" s="40" t="s">
        <v>545</v>
      </c>
      <c r="V728" s="40" t="s">
        <v>545</v>
      </c>
      <c r="W728" s="40" t="s">
        <v>545</v>
      </c>
      <c r="X728" s="3"/>
      <c r="Y728"/>
    </row>
    <row r="729" spans="1:25" hidden="1" x14ac:dyDescent="0.25">
      <c r="A729" s="10">
        <v>205</v>
      </c>
      <c r="B729" s="1">
        <f>IFERROR(VLOOKUP(ТабПозиции[[#This Row],[orderNum]],ТабЗаказы[#Data],MATCH(B$7,ТабЗаказы[#Headers],0),0),"")</f>
        <v>45514</v>
      </c>
      <c r="C729" t="str">
        <f>MONTH(ТабПозиции[[#This Row],[date]])&amp;"/"&amp;YEAR(ТабПозиции[[#This Row],[date]])</f>
        <v>8/2024</v>
      </c>
      <c r="D729" s="1" t="str">
        <f>IFERROR(VLOOKUP(ТабПозиции[[#This Row],[orderNum]],ТабЗаказы[#Data],MATCH(D$7,ТабЗаказы[#Headers],0),0),"")</f>
        <v/>
      </c>
      <c r="E729" s="1" t="str">
        <f>IFERROR(VLOOKUP(ТабПозиции[[#This Row],[orderNum]],ТабЗаказы[#Data],MATCH(E$7,ТабЗаказы[#Headers],0),0),"")</f>
        <v/>
      </c>
      <c r="F729" s="16" t="s">
        <v>1176</v>
      </c>
      <c r="G729" s="40" t="s">
        <v>545</v>
      </c>
      <c r="I729" s="18">
        <v>45517</v>
      </c>
      <c r="J729" s="10">
        <v>1</v>
      </c>
      <c r="K729" s="10">
        <v>4310</v>
      </c>
      <c r="L729">
        <v>4310</v>
      </c>
      <c r="M729" s="10">
        <v>4622</v>
      </c>
      <c r="N729">
        <f t="shared" si="12"/>
        <v>4622</v>
      </c>
      <c r="P7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Row],[orderNum]],ТабПозиции[orderSumm])&gt;1500),ABS(N729*VLOOKUP(ТабПозиции[[#This Row],[orderNum]],ТабЗаказы[#Data],MATCH("Percent",ТабЗаказы[#Headers],0),0))/100,200/COUNTIF(ТабПозиции[orderNum],ТабПозиции[[#This Row],[orderNum]])),0),"")</f>
        <v>693</v>
      </c>
      <c r="Q729">
        <f>IF(OR(ТабПозиции[[#This Row],[item]]="По штрихкоду",ТабПозиции[[#This Row],[item]]="Посылка"),ТабПозиции[[#This Row],[deliverySumm]]+ТабПозиции[[#This Row],[deliveryPost]],SUM(N729:P729))</f>
        <v>5315</v>
      </c>
      <c r="R729" s="41">
        <v>5315</v>
      </c>
      <c r="S729" s="46">
        <f>ТабПозиции[[#This Row],[totalSumm]]-ТабПозиции[[#This Row],[payment]]</f>
        <v>0</v>
      </c>
      <c r="T729" s="18" t="s">
        <v>960</v>
      </c>
      <c r="U729" s="40" t="s">
        <v>545</v>
      </c>
      <c r="V729" s="40" t="s">
        <v>545</v>
      </c>
      <c r="W729" s="40" t="s">
        <v>545</v>
      </c>
      <c r="X729" s="3"/>
      <c r="Y729"/>
    </row>
    <row r="730" spans="1:25" hidden="1" x14ac:dyDescent="0.25">
      <c r="A730" s="10">
        <v>205</v>
      </c>
      <c r="B730" s="1">
        <f>IFERROR(VLOOKUP(ТабПозиции[[#This Row],[orderNum]],ТабЗаказы[#Data],MATCH(B$7,ТабЗаказы[#Headers],0),0),"")</f>
        <v>45514</v>
      </c>
      <c r="C730" t="str">
        <f>MONTH(ТабПозиции[[#This Row],[date]])&amp;"/"&amp;YEAR(ТабПозиции[[#This Row],[date]])</f>
        <v>8/2024</v>
      </c>
      <c r="D730" s="1" t="str">
        <f>IFERROR(VLOOKUP(ТабПозиции[[#This Row],[orderNum]],ТабЗаказы[#Data],MATCH(D$7,ТабЗаказы[#Headers],0),0),"")</f>
        <v/>
      </c>
      <c r="E730" s="1" t="str">
        <f>IFERROR(VLOOKUP(ТабПозиции[[#This Row],[orderNum]],ТабЗаказы[#Data],MATCH(E$7,ТабЗаказы[#Headers],0),0),"")</f>
        <v/>
      </c>
      <c r="F730" s="16" t="s">
        <v>1184</v>
      </c>
      <c r="G730" s="40" t="s">
        <v>545</v>
      </c>
      <c r="I730" s="18">
        <v>45518</v>
      </c>
      <c r="J730" s="10">
        <v>1</v>
      </c>
      <c r="K730" s="10">
        <v>978</v>
      </c>
      <c r="L730">
        <v>978</v>
      </c>
      <c r="M730" s="10">
        <v>1030</v>
      </c>
      <c r="N730">
        <f t="shared" si="12"/>
        <v>1030</v>
      </c>
      <c r="P7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Row],[orderNum]],ТабПозиции[orderSumm])&gt;1500),ABS(N730*VLOOKUP(ТабПозиции[[#This Row],[orderNum]],ТабЗаказы[#Data],MATCH("Percent",ТабЗаказы[#Headers],0),0))/100,200/COUNTIF(ТабПозиции[orderNum],ТабПозиции[[#This Row],[orderNum]])),0),"")</f>
        <v>155</v>
      </c>
      <c r="Q730">
        <f>IF(OR(ТабПозиции[[#This Row],[item]]="По штрихкоду",ТабПозиции[[#This Row],[item]]="Посылка"),ТабПозиции[[#This Row],[deliverySumm]]+ТабПозиции[[#This Row],[deliveryPost]],SUM(N730:P730))</f>
        <v>1185</v>
      </c>
      <c r="R730" s="41">
        <v>1185</v>
      </c>
      <c r="S730" s="46">
        <f>ТабПозиции[[#This Row],[totalSumm]]-ТабПозиции[[#This Row],[payment]]</f>
        <v>0</v>
      </c>
      <c r="T730" s="18" t="s">
        <v>960</v>
      </c>
      <c r="U730" s="40" t="s">
        <v>545</v>
      </c>
      <c r="V730" s="40" t="s">
        <v>545</v>
      </c>
      <c r="W730" s="40" t="s">
        <v>545</v>
      </c>
      <c r="X730" s="3"/>
      <c r="Y730"/>
    </row>
    <row r="731" spans="1:25" hidden="1" x14ac:dyDescent="0.25">
      <c r="A731" s="10">
        <v>205</v>
      </c>
      <c r="B731" s="1">
        <f>IFERROR(VLOOKUP(ТабПозиции[[#This Row],[orderNum]],ТабЗаказы[#Data],MATCH(B$7,ТабЗаказы[#Headers],0),0),"")</f>
        <v>45514</v>
      </c>
      <c r="C731" t="str">
        <f>MONTH(ТабПозиции[[#This Row],[date]])&amp;"/"&amp;YEAR(ТабПозиции[[#This Row],[date]])</f>
        <v>8/2024</v>
      </c>
      <c r="D731" s="1" t="str">
        <f>IFERROR(VLOOKUP(ТабПозиции[[#This Row],[orderNum]],ТабЗаказы[#Data],MATCH(D$7,ТабЗаказы[#Headers],0),0),"")</f>
        <v/>
      </c>
      <c r="E731" s="1" t="str">
        <f>IFERROR(VLOOKUP(ТабПозиции[[#This Row],[orderNum]],ТабЗаказы[#Data],MATCH(E$7,ТабЗаказы[#Headers],0),0),"")</f>
        <v/>
      </c>
      <c r="F731" s="16" t="s">
        <v>1205</v>
      </c>
      <c r="G731" s="40" t="s">
        <v>545</v>
      </c>
      <c r="I731" s="18">
        <v>45516</v>
      </c>
      <c r="J731" s="10">
        <v>1</v>
      </c>
      <c r="K731" s="10">
        <v>2239</v>
      </c>
      <c r="L731">
        <v>2239</v>
      </c>
      <c r="M731" s="10">
        <v>2367</v>
      </c>
      <c r="N731">
        <f t="shared" si="12"/>
        <v>2367</v>
      </c>
      <c r="P7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Row],[orderNum]],ТабПозиции[orderSumm])&gt;1500),ABS(N731*VLOOKUP(ТабПозиции[[#This Row],[orderNum]],ТабЗаказы[#Data],MATCH("Percent",ТабЗаказы[#Headers],0),0))/100,200/COUNTIF(ТабПозиции[orderNum],ТабПозиции[[#This Row],[orderNum]])),0),"")</f>
        <v>355</v>
      </c>
      <c r="Q731">
        <f>IF(OR(ТабПозиции[[#This Row],[item]]="По штрихкоду",ТабПозиции[[#This Row],[item]]="Посылка"),ТабПозиции[[#This Row],[deliverySumm]]+ТабПозиции[[#This Row],[deliveryPost]],SUM(N731:P731))</f>
        <v>2722</v>
      </c>
      <c r="R731" s="41">
        <v>2722</v>
      </c>
      <c r="S731" s="46">
        <f>ТабПозиции[[#This Row],[totalSumm]]-ТабПозиции[[#This Row],[payment]]</f>
        <v>0</v>
      </c>
      <c r="T731" s="18" t="s">
        <v>960</v>
      </c>
      <c r="U731" s="40" t="s">
        <v>545</v>
      </c>
      <c r="V731" s="40" t="s">
        <v>545</v>
      </c>
      <c r="W731" s="40" t="s">
        <v>545</v>
      </c>
      <c r="X731" s="3"/>
      <c r="Y731"/>
    </row>
    <row r="732" spans="1:25" hidden="1" x14ac:dyDescent="0.25">
      <c r="A732" s="10">
        <v>205</v>
      </c>
      <c r="B732" s="1">
        <f>IFERROR(VLOOKUP(ТабПозиции[[#This Row],[orderNum]],ТабЗаказы[#Data],MATCH(B$7,ТабЗаказы[#Headers],0),0),"")</f>
        <v>45514</v>
      </c>
      <c r="C732" t="str">
        <f>MONTH(ТабПозиции[[#This Row],[date]])&amp;"/"&amp;YEAR(ТабПозиции[[#This Row],[date]])</f>
        <v>8/2024</v>
      </c>
      <c r="D732" s="1" t="str">
        <f>IFERROR(VLOOKUP(ТабПозиции[[#This Row],[orderNum]],ТабЗаказы[#Data],MATCH(D$7,ТабЗаказы[#Headers],0),0),"")</f>
        <v/>
      </c>
      <c r="E732" s="1" t="str">
        <f>IFERROR(VLOOKUP(ТабПозиции[[#This Row],[orderNum]],ТабЗаказы[#Data],MATCH(E$7,ТабЗаказы[#Headers],0),0),"")</f>
        <v/>
      </c>
      <c r="F732" s="16" t="s">
        <v>1206</v>
      </c>
      <c r="G732" s="40" t="s">
        <v>545</v>
      </c>
      <c r="I732" s="18">
        <v>45518</v>
      </c>
      <c r="J732" s="10">
        <v>1</v>
      </c>
      <c r="K732" s="10">
        <v>353</v>
      </c>
      <c r="L732">
        <v>353</v>
      </c>
      <c r="M732" s="10">
        <v>360</v>
      </c>
      <c r="N732">
        <f t="shared" si="12"/>
        <v>360</v>
      </c>
      <c r="P7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Row],[orderNum]],ТабПозиции[orderSumm])&gt;1500),ABS(N732*VLOOKUP(ТабПозиции[[#This Row],[orderNum]],ТабЗаказы[#Data],MATCH("Percent",ТабЗаказы[#Headers],0),0))/100,200/COUNTIF(ТабПозиции[orderNum],ТабПозиции[[#This Row],[orderNum]])),0),"")</f>
        <v>54</v>
      </c>
      <c r="Q732">
        <f>IF(OR(ТабПозиции[[#This Row],[item]]="По штрихкоду",ТабПозиции[[#This Row],[item]]="Посылка"),ТабПозиции[[#This Row],[deliverySumm]]+ТабПозиции[[#This Row],[deliveryPost]],SUM(N732:P732))</f>
        <v>414</v>
      </c>
      <c r="R732" s="41">
        <v>414</v>
      </c>
      <c r="S732" s="46">
        <f>ТабПозиции[[#This Row],[totalSumm]]-ТабПозиции[[#This Row],[payment]]</f>
        <v>0</v>
      </c>
      <c r="T732" s="18" t="s">
        <v>960</v>
      </c>
      <c r="U732" s="40" t="s">
        <v>545</v>
      </c>
      <c r="V732" s="40" t="s">
        <v>545</v>
      </c>
      <c r="W732" s="40" t="s">
        <v>545</v>
      </c>
      <c r="X732" s="3"/>
      <c r="Y732"/>
    </row>
    <row r="733" spans="1:25" hidden="1" x14ac:dyDescent="0.25">
      <c r="A733" s="10">
        <v>206</v>
      </c>
      <c r="B733" s="1">
        <f>IFERROR(VLOOKUP(ТабПозиции[[#This Row],[orderNum]],ТабЗаказы[#Data],MATCH(B$7,ТабЗаказы[#Headers],0),0),"")</f>
        <v>45514</v>
      </c>
      <c r="C733" t="str">
        <f>MONTH(ТабПозиции[[#This Row],[date]])&amp;"/"&amp;YEAR(ТабПозиции[[#This Row],[date]])</f>
        <v>8/2024</v>
      </c>
      <c r="D733" s="1" t="str">
        <f>IFERROR(VLOOKUP(ТабПозиции[[#This Row],[orderNum]],ТабЗаказы[#Data],MATCH(D$7,ТабЗаказы[#Headers],0),0),"")</f>
        <v/>
      </c>
      <c r="E733" s="1" t="str">
        <f>IFERROR(VLOOKUP(ТабПозиции[[#This Row],[orderNum]],ТабЗаказы[#Data],MATCH(E$7,ТабЗаказы[#Headers],0),0),"")</f>
        <v/>
      </c>
      <c r="F733" s="16" t="s">
        <v>1207</v>
      </c>
      <c r="G733" s="40" t="s">
        <v>545</v>
      </c>
      <c r="I733" s="18">
        <v>45520</v>
      </c>
      <c r="J733" s="10">
        <v>1</v>
      </c>
      <c r="K733" s="10">
        <v>55000</v>
      </c>
      <c r="L733">
        <v>55000</v>
      </c>
      <c r="M733" s="10">
        <v>55000</v>
      </c>
      <c r="N733">
        <f t="shared" si="12"/>
        <v>55000</v>
      </c>
      <c r="O733" s="10">
        <v>613</v>
      </c>
      <c r="P7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Row],[orderNum]],ТабПозиции[orderSumm])&gt;1500),ABS(N733*VLOOKUP(ТабПозиции[[#This Row],[orderNum]],ТабЗаказы[#Data],MATCH("Percent",ТабЗаказы[#Headers],0),0))/100,200/COUNTIF(ТабПозиции[orderNum],ТабПозиции[[#This Row],[orderNum]])),0),"")</f>
        <v>5500</v>
      </c>
      <c r="Q733">
        <f>IF(OR(ТабПозиции[[#This Row],[item]]="По штрихкоду",ТабПозиции[[#This Row],[item]]="Посылка"),ТабПозиции[[#This Row],[deliverySumm]]+ТабПозиции[[#This Row],[deliveryPost]],SUM(N733:P733))</f>
        <v>61113</v>
      </c>
      <c r="R733" s="41">
        <f>82500-21387</f>
        <v>61113</v>
      </c>
      <c r="S733" s="46">
        <f>ТабПозиции[[#This Row],[totalSumm]]-ТабПозиции[[#This Row],[payment]]</f>
        <v>0</v>
      </c>
      <c r="T733" s="18" t="s">
        <v>1021</v>
      </c>
      <c r="U733" s="40" t="s">
        <v>545</v>
      </c>
      <c r="V733" s="40" t="s">
        <v>545</v>
      </c>
      <c r="W733" s="40" t="s">
        <v>545</v>
      </c>
      <c r="X733" s="3"/>
      <c r="Y733"/>
    </row>
    <row r="734" spans="1:25" hidden="1" x14ac:dyDescent="0.25">
      <c r="A734" s="10">
        <v>207</v>
      </c>
      <c r="B734" s="1">
        <f>IFERROR(VLOOKUP(ТабПозиции[[#This Row],[orderNum]],ТабЗаказы[#Data],MATCH(B$7,ТабЗаказы[#Headers],0),0),"")</f>
        <v>45516</v>
      </c>
      <c r="C734" t="str">
        <f>MONTH(ТабПозиции[[#This Row],[date]])&amp;"/"&amp;YEAR(ТабПозиции[[#This Row],[date]])</f>
        <v>8/2024</v>
      </c>
      <c r="D734" s="1" t="str">
        <f>IFERROR(VLOOKUP(ТабПозиции[[#This Row],[orderNum]],ТабЗаказы[#Data],MATCH(D$7,ТабЗаказы[#Headers],0),0),"")</f>
        <v/>
      </c>
      <c r="E734" s="1" t="str">
        <f>IFERROR(VLOOKUP(ТабПозиции[[#This Row],[orderNum]],ТабЗаказы[#Data],MATCH(E$7,ТабЗаказы[#Headers],0),0),"")</f>
        <v/>
      </c>
      <c r="F734" s="16" t="s">
        <v>1208</v>
      </c>
      <c r="G734" s="40" t="s">
        <v>545</v>
      </c>
      <c r="I734" s="18">
        <v>45518</v>
      </c>
      <c r="J734" s="10">
        <v>1</v>
      </c>
      <c r="K734" s="10">
        <v>332</v>
      </c>
      <c r="L734">
        <v>332</v>
      </c>
      <c r="M734" s="10">
        <v>350</v>
      </c>
      <c r="N734">
        <f t="shared" si="12"/>
        <v>350</v>
      </c>
      <c r="P7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Row],[orderNum]],ТабПозиции[orderSumm])&gt;1500),ABS(N734*VLOOKUP(ТабПозиции[[#This Row],[orderNum]],ТабЗаказы[#Data],MATCH("Percent",ТабЗаказы[#Headers],0),0))/100,200/COUNTIF(ТабПозиции[orderNum],ТабПозиции[[#This Row],[orderNum]])),0),"")</f>
        <v>35</v>
      </c>
      <c r="Q734">
        <f>IF(OR(ТабПозиции[[#This Row],[item]]="По штрихкоду",ТабПозиции[[#This Row],[item]]="Посылка"),ТабПозиции[[#This Row],[deliverySumm]]+ТабПозиции[[#This Row],[deliveryPost]],SUM(N734:P734))</f>
        <v>385</v>
      </c>
      <c r="R734" s="41">
        <v>385</v>
      </c>
      <c r="S734" s="46">
        <f>ТабПозиции[[#This Row],[totalSumm]]-ТабПозиции[[#This Row],[payment]]</f>
        <v>0</v>
      </c>
      <c r="T734" s="18" t="s">
        <v>970</v>
      </c>
      <c r="U734" s="40" t="s">
        <v>545</v>
      </c>
      <c r="V734" s="40" t="s">
        <v>545</v>
      </c>
      <c r="W734" s="40" t="s">
        <v>545</v>
      </c>
      <c r="X734" s="3"/>
      <c r="Y734"/>
    </row>
    <row r="735" spans="1:25" hidden="1" x14ac:dyDescent="0.25">
      <c r="A735" s="10">
        <v>207</v>
      </c>
      <c r="B735" s="1">
        <f>IFERROR(VLOOKUP(ТабПозиции[[#This Row],[orderNum]],ТабЗаказы[#Data],MATCH(B$7,ТабЗаказы[#Headers],0),0),"")</f>
        <v>45516</v>
      </c>
      <c r="C735" t="str">
        <f>MONTH(ТабПозиции[[#This Row],[date]])&amp;"/"&amp;YEAR(ТабПозиции[[#This Row],[date]])</f>
        <v>8/2024</v>
      </c>
      <c r="D735" s="1" t="str">
        <f>IFERROR(VLOOKUP(ТабПозиции[[#This Row],[orderNum]],ТабЗаказы[#Data],MATCH(D$7,ТабЗаказы[#Headers],0),0),"")</f>
        <v/>
      </c>
      <c r="E735" s="1" t="str">
        <f>IFERROR(VLOOKUP(ТабПозиции[[#This Row],[orderNum]],ТабЗаказы[#Data],MATCH(E$7,ТабЗаказы[#Headers],0),0),"")</f>
        <v/>
      </c>
      <c r="F735" s="16" t="s">
        <v>1071</v>
      </c>
      <c r="G735" s="40" t="s">
        <v>545</v>
      </c>
      <c r="I735" s="18">
        <v>45518</v>
      </c>
      <c r="J735" s="10">
        <v>1</v>
      </c>
      <c r="K735" s="10">
        <v>698</v>
      </c>
      <c r="L735">
        <v>698</v>
      </c>
      <c r="M735" s="10">
        <v>735</v>
      </c>
      <c r="N735">
        <f t="shared" si="12"/>
        <v>735</v>
      </c>
      <c r="P7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Row],[orderNum]],ТабПозиции[orderSumm])&gt;1500),ABS(N735*VLOOKUP(ТабПозиции[[#This Row],[orderNum]],ТабЗаказы[#Data],MATCH("Percent",ТабЗаказы[#Headers],0),0))/100,200/COUNTIF(ТабПозиции[orderNum],ТабПозиции[[#This Row],[orderNum]])),0),"")</f>
        <v>74</v>
      </c>
      <c r="Q735">
        <f>IF(OR(ТабПозиции[[#This Row],[item]]="По штрихкоду",ТабПозиции[[#This Row],[item]]="Посылка"),ТабПозиции[[#This Row],[deliverySumm]]+ТабПозиции[[#This Row],[deliveryPost]],SUM(N735:P735))</f>
        <v>809</v>
      </c>
      <c r="R735" s="41">
        <v>809</v>
      </c>
      <c r="S735" s="46">
        <f>ТабПозиции[[#This Row],[totalSumm]]-ТабПозиции[[#This Row],[payment]]</f>
        <v>0</v>
      </c>
      <c r="T735" s="18" t="s">
        <v>970</v>
      </c>
      <c r="U735" s="40" t="s">
        <v>545</v>
      </c>
      <c r="V735" s="40" t="s">
        <v>545</v>
      </c>
      <c r="W735" s="40" t="s">
        <v>545</v>
      </c>
      <c r="X735" s="3"/>
      <c r="Y735"/>
    </row>
    <row r="736" spans="1:25" hidden="1" x14ac:dyDescent="0.25">
      <c r="A736" s="10">
        <v>207</v>
      </c>
      <c r="B736" s="1">
        <f>IFERROR(VLOOKUP(ТабПозиции[[#This Row],[orderNum]],ТабЗаказы[#Data],MATCH(B$7,ТабЗаказы[#Headers],0),0),"")</f>
        <v>45516</v>
      </c>
      <c r="C736" t="str">
        <f>MONTH(ТабПозиции[[#This Row],[date]])&amp;"/"&amp;YEAR(ТабПозиции[[#This Row],[date]])</f>
        <v>8/2024</v>
      </c>
      <c r="D736" s="1" t="str">
        <f>IFERROR(VLOOKUP(ТабПозиции[[#This Row],[orderNum]],ТабЗаказы[#Data],MATCH(D$7,ТабЗаказы[#Headers],0),0),"")</f>
        <v/>
      </c>
      <c r="E736" s="1" t="str">
        <f>IFERROR(VLOOKUP(ТабПозиции[[#This Row],[orderNum]],ТабЗаказы[#Data],MATCH(E$7,ТабЗаказы[#Headers],0),0),"")</f>
        <v/>
      </c>
      <c r="F736" s="16" t="s">
        <v>1071</v>
      </c>
      <c r="G736" s="40" t="s">
        <v>545</v>
      </c>
      <c r="I736" s="18">
        <v>45518</v>
      </c>
      <c r="J736" s="10">
        <v>1</v>
      </c>
      <c r="K736" s="10">
        <v>685</v>
      </c>
      <c r="L736">
        <v>685</v>
      </c>
      <c r="M736" s="10">
        <v>722</v>
      </c>
      <c r="N736">
        <f t="shared" si="12"/>
        <v>722</v>
      </c>
      <c r="P7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Row],[orderNum]],ТабПозиции[orderSumm])&gt;1500),ABS(N736*VLOOKUP(ТабПозиции[[#This Row],[orderNum]],ТабЗаказы[#Data],MATCH("Percent",ТабЗаказы[#Headers],0),0))/100,200/COUNTIF(ТабПозиции[orderNum],ТабПозиции[[#This Row],[orderNum]])),0),"")</f>
        <v>72</v>
      </c>
      <c r="Q736">
        <f>IF(OR(ТабПозиции[[#This Row],[item]]="По штрихкоду",ТабПозиции[[#This Row],[item]]="Посылка"),ТабПозиции[[#This Row],[deliverySumm]]+ТабПозиции[[#This Row],[deliveryPost]],SUM(N736:P736))</f>
        <v>794</v>
      </c>
      <c r="R736" s="41">
        <v>794</v>
      </c>
      <c r="S736" s="46">
        <f>ТабПозиции[[#This Row],[totalSumm]]-ТабПозиции[[#This Row],[payment]]</f>
        <v>0</v>
      </c>
      <c r="T736" s="18" t="s">
        <v>970</v>
      </c>
      <c r="U736" s="40" t="s">
        <v>545</v>
      </c>
      <c r="V736" s="40" t="s">
        <v>545</v>
      </c>
      <c r="W736" s="40" t="s">
        <v>545</v>
      </c>
      <c r="X736" s="3"/>
      <c r="Y736"/>
    </row>
    <row r="737" spans="1:25" hidden="1" x14ac:dyDescent="0.25">
      <c r="A737" s="10">
        <v>204</v>
      </c>
      <c r="B737" s="1">
        <f>IFERROR(VLOOKUP(ТабПозиции[[#This Row],[orderNum]],ТабЗаказы[#Data],MATCH(B$7,ТабЗаказы[#Headers],0),0),"")</f>
        <v>45514</v>
      </c>
      <c r="C737" t="str">
        <f>MONTH(ТабПозиции[[#This Row],[date]])&amp;"/"&amp;YEAR(ТабПозиции[[#This Row],[date]])</f>
        <v>8/2024</v>
      </c>
      <c r="D737" s="1" t="str">
        <f>IFERROR(VLOOKUP(ТабПозиции[[#This Row],[orderNum]],ТабЗаказы[#Data],MATCH(D$7,ТабЗаказы[#Headers],0),0),"")</f>
        <v/>
      </c>
      <c r="E737" s="1" t="str">
        <f>IFERROR(VLOOKUP(ТабПозиции[[#This Row],[orderNum]],ТабЗаказы[#Data],MATCH(E$7,ТабЗаказы[#Headers],0),0),"")</f>
        <v/>
      </c>
      <c r="F737" s="10" t="s">
        <v>820</v>
      </c>
      <c r="G737" s="40" t="s">
        <v>545</v>
      </c>
      <c r="H737" s="12" t="s">
        <v>1209</v>
      </c>
      <c r="I737" s="18">
        <v>45521</v>
      </c>
      <c r="J737" s="10">
        <v>1</v>
      </c>
      <c r="K737" s="10">
        <v>13500</v>
      </c>
      <c r="L737">
        <v>13500</v>
      </c>
      <c r="M737" s="10">
        <v>13500</v>
      </c>
      <c r="N737">
        <f t="shared" ref="N737:N797" si="13">M737*J737</f>
        <v>13500</v>
      </c>
      <c r="P7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Row],[orderNum]],ТабПозиции[orderSumm])&gt;1500),ABS(N737*VLOOKUP(ТабПозиции[[#This Row],[orderNum]],ТабЗаказы[#Data],MATCH("Percent",ТабЗаказы[#Headers],0),0))/100,200/COUNTIF(ТабПозиции[orderNum],ТабПозиции[[#This Row],[orderNum]])),0),"")</f>
        <v>1350</v>
      </c>
      <c r="Q737">
        <f>IF(OR(ТабПозиции[[#This Row],[item]]="По штрихкоду",ТабПозиции[[#This Row],[item]]="Посылка"),ТабПозиции[[#This Row],[deliverySumm]]+ТабПозиции[[#This Row],[deliveryPost]],SUM(N737:P737))</f>
        <v>1350</v>
      </c>
      <c r="R737" s="41">
        <v>1350</v>
      </c>
      <c r="S737" s="46">
        <f>ТабПозиции[[#This Row],[totalSumm]]-ТабПозиции[[#This Row],[payment]]</f>
        <v>0</v>
      </c>
      <c r="T737" s="18" t="s">
        <v>1021</v>
      </c>
      <c r="U737" s="40" t="s">
        <v>545</v>
      </c>
      <c r="V737" s="40" t="s">
        <v>545</v>
      </c>
      <c r="W737" s="40" t="s">
        <v>545</v>
      </c>
      <c r="X737" s="3"/>
      <c r="Y737"/>
    </row>
    <row r="738" spans="1:25" hidden="1" x14ac:dyDescent="0.25">
      <c r="A738" s="10">
        <v>208</v>
      </c>
      <c r="B738" s="1">
        <f>IFERROR(VLOOKUP(ТабПозиции[[#This Row],[orderNum]],ТабЗаказы[#Data],MATCH(B$7,ТабЗаказы[#Headers],0),0),"")</f>
        <v>45517</v>
      </c>
      <c r="C738" t="str">
        <f>MONTH(ТабПозиции[[#This Row],[date]])&amp;"/"&amp;YEAR(ТабПозиции[[#This Row],[date]])</f>
        <v>8/2024</v>
      </c>
      <c r="D738" s="1" t="str">
        <f>IFERROR(VLOOKUP(ТабПозиции[[#This Row],[orderNum]],ТабЗаказы[#Data],MATCH(D$7,ТабЗаказы[#Headers],0),0),"")</f>
        <v/>
      </c>
      <c r="E738" s="1" t="str">
        <f>IFERROR(VLOOKUP(ТабПозиции[[#This Row],[orderNum]],ТабЗаказы[#Data],MATCH(E$7,ТабЗаказы[#Headers],0),0),"")</f>
        <v/>
      </c>
      <c r="F738" s="10" t="s">
        <v>32</v>
      </c>
      <c r="G738" s="40" t="s">
        <v>545</v>
      </c>
      <c r="I738" s="18">
        <v>45517</v>
      </c>
      <c r="J738" s="10">
        <v>1</v>
      </c>
      <c r="K738" s="10">
        <v>3970</v>
      </c>
      <c r="L738">
        <v>3970</v>
      </c>
      <c r="M738" s="10">
        <v>3970</v>
      </c>
      <c r="N738">
        <f t="shared" si="13"/>
        <v>3970</v>
      </c>
      <c r="P7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Row],[orderNum]],ТабПозиции[orderSumm])&gt;1500),ABS(N738*VLOOKUP(ТабПозиции[[#This Row],[orderNum]],ТабЗаказы[#Data],MATCH("Percent",ТабЗаказы[#Headers],0),0))/100,200/COUNTIF(ТабПозиции[orderNum],ТабПозиции[[#This Row],[orderNum]])),0),"")</f>
        <v>596</v>
      </c>
      <c r="Q738">
        <f>IF(OR(ТабПозиции[[#This Row],[item]]="По штрихкоду",ТабПозиции[[#This Row],[item]]="Посылка"),ТабПозиции[[#This Row],[deliverySumm]]+ТабПозиции[[#This Row],[deliveryPost]],SUM(N738:P738))</f>
        <v>596</v>
      </c>
      <c r="R738" s="41">
        <v>596</v>
      </c>
      <c r="S738" s="46">
        <f>ТабПозиции[[#This Row],[totalSumm]]-ТабПозиции[[#This Row],[payment]]</f>
        <v>0</v>
      </c>
      <c r="T738" s="18" t="s">
        <v>548</v>
      </c>
      <c r="U738" s="40" t="s">
        <v>545</v>
      </c>
      <c r="V738" s="40" t="s">
        <v>545</v>
      </c>
      <c r="W738" s="40" t="s">
        <v>545</v>
      </c>
      <c r="X738" s="3"/>
      <c r="Y738"/>
    </row>
    <row r="739" spans="1:25" hidden="1" x14ac:dyDescent="0.25">
      <c r="A739" s="10">
        <v>209</v>
      </c>
      <c r="B739" s="1">
        <f>IFERROR(VLOOKUP(ТабПозиции[[#This Row],[orderNum]],ТабЗаказы[#Data],MATCH(B$7,ТабЗаказы[#Headers],0),0),"")</f>
        <v>45517</v>
      </c>
      <c r="C739" t="str">
        <f>MONTH(ТабПозиции[[#This Row],[date]])&amp;"/"&amp;YEAR(ТабПозиции[[#This Row],[date]])</f>
        <v>8/2024</v>
      </c>
      <c r="D739" s="1" t="str">
        <f>IFERROR(VLOOKUP(ТабПозиции[[#This Row],[orderNum]],ТабЗаказы[#Data],MATCH(D$7,ТабЗаказы[#Headers],0),0),"")</f>
        <v/>
      </c>
      <c r="E739" s="1" t="str">
        <f>IFERROR(VLOOKUP(ТабПозиции[[#This Row],[orderNum]],ТабЗаказы[#Data],MATCH(E$7,ТабЗаказы[#Headers],0),0),"")</f>
        <v/>
      </c>
      <c r="F739" s="10" t="s">
        <v>32</v>
      </c>
      <c r="G739" s="40" t="s">
        <v>545</v>
      </c>
      <c r="I739" s="18">
        <v>45517</v>
      </c>
      <c r="J739" s="10">
        <v>1</v>
      </c>
      <c r="K739" s="10">
        <v>10871</v>
      </c>
      <c r="L739">
        <v>10871</v>
      </c>
      <c r="M739" s="10">
        <v>10871</v>
      </c>
      <c r="N739">
        <f t="shared" si="13"/>
        <v>10871</v>
      </c>
      <c r="O739" s="10">
        <v>200</v>
      </c>
      <c r="P7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Row],[orderNum]],ТабПозиции[orderSumm])&gt;1500),ABS(N739*VLOOKUP(ТабПозиции[[#This Row],[orderNum]],ТабЗаказы[#Data],MATCH("Percent",ТабЗаказы[#Headers],0),0))/100,200/COUNTIF(ТабПозиции[orderNum],ТабПозиции[[#This Row],[orderNum]])),0),"")</f>
        <v>1087</v>
      </c>
      <c r="Q739">
        <f>IF(OR(ТабПозиции[[#This Row],[item]]="По штрихкоду",ТабПозиции[[#This Row],[item]]="Посылка"),ТабПозиции[[#This Row],[deliverySumm]]+ТабПозиции[[#This Row],[deliveryPost]],SUM(N739:P739))</f>
        <v>1287</v>
      </c>
      <c r="R739" s="41">
        <v>1287</v>
      </c>
      <c r="S739" s="46">
        <f>ТабПозиции[[#This Row],[totalSumm]]-ТабПозиции[[#This Row],[payment]]</f>
        <v>0</v>
      </c>
      <c r="T739" s="18" t="s">
        <v>960</v>
      </c>
      <c r="U739" s="40" t="s">
        <v>545</v>
      </c>
      <c r="V739" s="40" t="s">
        <v>545</v>
      </c>
      <c r="W739" s="40" t="s">
        <v>545</v>
      </c>
      <c r="X739" s="3"/>
      <c r="Y739"/>
    </row>
    <row r="740" spans="1:25" hidden="1" x14ac:dyDescent="0.25">
      <c r="A740" s="10">
        <v>210</v>
      </c>
      <c r="B740" s="1">
        <f>IFERROR(VLOOKUP(ТабПозиции[[#This Row],[orderNum]],ТабЗаказы[#Data],MATCH(B$7,ТабЗаказы[#Headers],0),0),"")</f>
        <v>45520</v>
      </c>
      <c r="C740" t="str">
        <f>MONTH(ТабПозиции[[#This Row],[date]])&amp;"/"&amp;YEAR(ТабПозиции[[#This Row],[date]])</f>
        <v>8/2024</v>
      </c>
      <c r="D740" s="1" t="str">
        <f>IFERROR(VLOOKUP(ТабПозиции[[#This Row],[orderNum]],ТабЗаказы[#Data],MATCH(D$7,ТабЗаказы[#Headers],0),0),"")</f>
        <v/>
      </c>
      <c r="E740" s="1" t="str">
        <f>IFERROR(VLOOKUP(ТабПозиции[[#This Row],[orderNum]],ТабЗаказы[#Data],MATCH(E$7,ТабЗаказы[#Headers],0),0),"")</f>
        <v/>
      </c>
      <c r="F740" s="16" t="s">
        <v>1210</v>
      </c>
      <c r="G740" s="40" t="s">
        <v>545</v>
      </c>
      <c r="H740" s="12" t="s">
        <v>1211</v>
      </c>
      <c r="I740" s="18">
        <v>45534</v>
      </c>
      <c r="J740" s="10">
        <v>1</v>
      </c>
      <c r="K740" s="10">
        <v>12688</v>
      </c>
      <c r="L740">
        <v>12688</v>
      </c>
      <c r="M740" s="10">
        <v>12688</v>
      </c>
      <c r="N740">
        <f t="shared" si="13"/>
        <v>12688</v>
      </c>
      <c r="P7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Row],[orderNum]],ТабПозиции[orderSumm])&gt;1500),ABS(N740*VLOOKUP(ТабПозиции[[#This Row],[orderNum]],ТабЗаказы[#Data],MATCH("Percent",ТабЗаказы[#Headers],0),0))/100,200/COUNTIF(ТабПозиции[orderNum],ТабПозиции[[#This Row],[orderNum]])),0),"")</f>
        <v>1269</v>
      </c>
      <c r="Q740">
        <f>IF(OR(ТабПозиции[[#This Row],[item]]="По штрихкоду",ТабПозиции[[#This Row],[item]]="Посылка"),ТабПозиции[[#This Row],[deliverySumm]]+ТабПозиции[[#This Row],[deliveryPost]],SUM(N740:P740))</f>
        <v>13957</v>
      </c>
      <c r="R740" s="41">
        <v>13957</v>
      </c>
      <c r="S740" s="46">
        <f>ТабПозиции[[#This Row],[totalSumm]]-ТабПозиции[[#This Row],[payment]]</f>
        <v>0</v>
      </c>
      <c r="T740" s="18" t="s">
        <v>1005</v>
      </c>
      <c r="U740" s="40" t="s">
        <v>545</v>
      </c>
      <c r="V740" s="40" t="s">
        <v>545</v>
      </c>
      <c r="W740" s="40" t="s">
        <v>545</v>
      </c>
      <c r="X740" s="3"/>
      <c r="Y740"/>
    </row>
    <row r="741" spans="1:25" hidden="1" x14ac:dyDescent="0.25">
      <c r="A741" s="10">
        <v>211</v>
      </c>
      <c r="B741" s="1">
        <f>IFERROR(VLOOKUP(ТабПозиции[[#This Row],[orderNum]],ТабЗаказы[#Data],MATCH(B$7,ТабЗаказы[#Headers],0),0),"")</f>
        <v>45520</v>
      </c>
      <c r="C741" t="str">
        <f>MONTH(ТабПозиции[[#This Row],[date]])&amp;"/"&amp;YEAR(ТабПозиции[[#This Row],[date]])</f>
        <v>8/2024</v>
      </c>
      <c r="D741" s="1" t="str">
        <f>IFERROR(VLOOKUP(ТабПозиции[[#This Row],[orderNum]],ТабЗаказы[#Data],MATCH(D$7,ТабЗаказы[#Headers],0),0),"")</f>
        <v/>
      </c>
      <c r="E741" s="1" t="str">
        <f>IFERROR(VLOOKUP(ТабПозиции[[#This Row],[orderNum]],ТабЗаказы[#Data],MATCH(E$7,ТабЗаказы[#Headers],0),0),"")</f>
        <v/>
      </c>
      <c r="F741" s="16" t="s">
        <v>1212</v>
      </c>
      <c r="G741" s="40" t="s">
        <v>545</v>
      </c>
      <c r="I741" s="18">
        <v>45524</v>
      </c>
      <c r="J741" s="10">
        <v>1</v>
      </c>
      <c r="K741" s="10">
        <v>1073</v>
      </c>
      <c r="L741">
        <v>1073</v>
      </c>
      <c r="M741" s="10">
        <v>1155</v>
      </c>
      <c r="N741">
        <f t="shared" si="13"/>
        <v>1155</v>
      </c>
      <c r="P7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Row],[orderNum]],ТабПозиции[orderSumm])&gt;1500),ABS(N741*VLOOKUP(ТабПозиции[[#This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741">
        <f>IF(OR(ТабПозиции[[#This Row],[item]]="По штрихкоду",ТабПозиции[[#This Row],[item]]="Посылка"),ТабПозиции[[#This Row],[deliverySumm]]+ТабПозиции[[#This Row],[deliveryPost]],SUM(N741:P741))</f>
        <v>1255</v>
      </c>
      <c r="R741" s="41">
        <v>1255</v>
      </c>
      <c r="S741" s="46">
        <f>ТабПозиции[[#This Row],[totalSumm]]-ТабПозиции[[#This Row],[payment]]</f>
        <v>0</v>
      </c>
      <c r="T741" s="18" t="s">
        <v>960</v>
      </c>
      <c r="U741" s="40" t="s">
        <v>545</v>
      </c>
      <c r="V741" s="40" t="s">
        <v>545</v>
      </c>
      <c r="W741" s="40" t="s">
        <v>545</v>
      </c>
      <c r="X741" s="3"/>
      <c r="Y741"/>
    </row>
    <row r="742" spans="1:25" hidden="1" x14ac:dyDescent="0.25">
      <c r="A742" s="10">
        <v>211</v>
      </c>
      <c r="B742" s="1">
        <f>IFERROR(VLOOKUP(ТабПозиции[[#This Row],[orderNum]],ТабЗаказы[#Data],MATCH(B$7,ТабЗаказы[#Headers],0),0),"")</f>
        <v>45520</v>
      </c>
      <c r="C742" t="str">
        <f>MONTH(ТабПозиции[[#This Row],[date]])&amp;"/"&amp;YEAR(ТабПозиции[[#This Row],[date]])</f>
        <v>8/2024</v>
      </c>
      <c r="D742" s="1" t="str">
        <f>IFERROR(VLOOKUP(ТабПозиции[[#This Row],[orderNum]],ТабЗаказы[#Data],MATCH(D$7,ТабЗаказы[#Headers],0),0),"")</f>
        <v/>
      </c>
      <c r="E742" s="1" t="str">
        <f>IFERROR(VLOOKUP(ТабПозиции[[#This Row],[orderNum]],ТабЗаказы[#Data],MATCH(E$7,ТабЗаказы[#Headers],0),0),"")</f>
        <v/>
      </c>
      <c r="F742" s="16" t="s">
        <v>1213</v>
      </c>
      <c r="G742" s="40" t="s">
        <v>545</v>
      </c>
      <c r="I742" s="18">
        <v>45535</v>
      </c>
      <c r="J742" s="10">
        <v>1</v>
      </c>
      <c r="K742" s="10">
        <v>345</v>
      </c>
      <c r="L742">
        <v>345</v>
      </c>
      <c r="M742" s="10">
        <v>345</v>
      </c>
      <c r="N742">
        <f t="shared" si="13"/>
        <v>345</v>
      </c>
      <c r="P7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Row],[orderNum]],ТабПозиции[orderSumm])&gt;1500),ABS(N742*VLOOKUP(ТабПозиции[[#This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742">
        <f>IF(OR(ТабПозиции[[#This Row],[item]]="По штрихкоду",ТабПозиции[[#This Row],[item]]="Посылка"),ТабПозиции[[#This Row],[deliverySumm]]+ТабПозиции[[#This Row],[deliveryPost]],SUM(N742:P742))</f>
        <v>445</v>
      </c>
      <c r="R742" s="41">
        <v>445</v>
      </c>
      <c r="S742" s="46">
        <f>ТабПозиции[[#This Row],[totalSumm]]-ТабПозиции[[#This Row],[payment]]</f>
        <v>0</v>
      </c>
      <c r="T742" s="18" t="s">
        <v>960</v>
      </c>
      <c r="U742" s="40" t="s">
        <v>545</v>
      </c>
      <c r="V742" s="40" t="s">
        <v>545</v>
      </c>
      <c r="W742" s="40" t="s">
        <v>545</v>
      </c>
      <c r="X742" s="3"/>
      <c r="Y742"/>
    </row>
    <row r="743" spans="1:25" hidden="1" x14ac:dyDescent="0.25">
      <c r="A743" s="10">
        <v>212</v>
      </c>
      <c r="B743" s="1">
        <f>IFERROR(VLOOKUP(ТабПозиции[[#This Row],[orderNum]],ТабЗаказы[#Data],MATCH(B$7,ТабЗаказы[#Headers],0),0),"")</f>
        <v>45520</v>
      </c>
      <c r="C743" t="str">
        <f>MONTH(ТабПозиции[[#This Row],[date]])&amp;"/"&amp;YEAR(ТабПозиции[[#This Row],[date]])</f>
        <v>8/2024</v>
      </c>
      <c r="D743" s="1" t="str">
        <f>IFERROR(VLOOKUP(ТабПозиции[[#This Row],[orderNum]],ТабЗаказы[#Data],MATCH(D$7,ТабЗаказы[#Headers],0),0),"")</f>
        <v/>
      </c>
      <c r="E743" s="1" t="str">
        <f>IFERROR(VLOOKUP(ТабПозиции[[#This Row],[orderNum]],ТабЗаказы[#Data],MATCH(E$7,ТабЗаказы[#Headers],0),0),"")</f>
        <v/>
      </c>
      <c r="F743" s="16" t="s">
        <v>1214</v>
      </c>
      <c r="G743" s="40" t="s">
        <v>545</v>
      </c>
      <c r="I743" s="18">
        <v>45520</v>
      </c>
      <c r="J743" s="10">
        <v>1</v>
      </c>
      <c r="K743" s="10">
        <v>233</v>
      </c>
      <c r="L743">
        <v>233</v>
      </c>
      <c r="M743" s="10">
        <v>233</v>
      </c>
      <c r="N743">
        <f t="shared" si="13"/>
        <v>233</v>
      </c>
      <c r="P7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Row],[orderNum]],ТабПозиции[orderSumm])&gt;1500),ABS(N743*VLOOKUP(ТабПозиции[[#This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743">
        <f>IF(OR(ТабПозиции[[#This Row],[item]]="По штрихкоду",ТабПозиции[[#This Row],[item]]="Посылка"),ТабПозиции[[#This Row],[deliverySumm]]+ТабПозиции[[#This Row],[deliveryPost]],SUM(N743:P743))</f>
        <v>433</v>
      </c>
      <c r="R743" s="41">
        <v>433</v>
      </c>
      <c r="S743" s="46">
        <f>ТабПозиции[[#This Row],[totalSumm]]-ТабПозиции[[#This Row],[payment]]</f>
        <v>0</v>
      </c>
      <c r="T743" s="18" t="s">
        <v>960</v>
      </c>
      <c r="U743" s="40" t="s">
        <v>545</v>
      </c>
      <c r="V743" s="40" t="s">
        <v>545</v>
      </c>
      <c r="W743" s="40" t="s">
        <v>545</v>
      </c>
      <c r="X743" s="3"/>
      <c r="Y743"/>
    </row>
    <row r="744" spans="1:25" hidden="1" x14ac:dyDescent="0.25">
      <c r="A744" s="10">
        <v>213</v>
      </c>
      <c r="B744" s="1">
        <f>IFERROR(VLOOKUP(ТабПозиции[[#This Row],[orderNum]],ТабЗаказы[#Data],MATCH(B$7,ТабЗаказы[#Headers],0),0),"")</f>
        <v>45520</v>
      </c>
      <c r="C744" t="str">
        <f>MONTH(ТабПозиции[[#This Row],[date]])&amp;"/"&amp;YEAR(ТабПозиции[[#This Row],[date]])</f>
        <v>8/2024</v>
      </c>
      <c r="D744" s="1" t="str">
        <f>IFERROR(VLOOKUP(ТабПозиции[[#This Row],[orderNum]],ТабЗаказы[#Data],MATCH(D$7,ТабЗаказы[#Headers],0),0),"")</f>
        <v/>
      </c>
      <c r="E744" s="1" t="str">
        <f>IFERROR(VLOOKUP(ТабПозиции[[#This Row],[orderNum]],ТабЗаказы[#Data],MATCH(E$7,ТабЗаказы[#Headers],0),0),"")</f>
        <v/>
      </c>
      <c r="F744" s="10" t="s">
        <v>32</v>
      </c>
      <c r="G744" s="40" t="s">
        <v>545</v>
      </c>
      <c r="I744" s="18">
        <v>45520</v>
      </c>
      <c r="J744" s="10">
        <v>1</v>
      </c>
      <c r="K744" s="10">
        <v>12991</v>
      </c>
      <c r="L744">
        <v>12991</v>
      </c>
      <c r="M744" s="10">
        <v>12991</v>
      </c>
      <c r="N744">
        <f t="shared" si="13"/>
        <v>12991</v>
      </c>
      <c r="P7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Row],[orderNum]],ТабПозиции[orderSumm])&gt;1500),ABS(N744*VLOOKUP(ТабПозиции[[#This Row],[orderNum]],ТабЗаказы[#Data],MATCH("Percent",ТабЗаказы[#Headers],0),0))/100,200/COUNTIF(ТабПозиции[orderNum],ТабПозиции[[#This Row],[orderNum]])),0),"")</f>
        <v>1299</v>
      </c>
      <c r="Q744">
        <f>IF(OR(ТабПозиции[[#This Row],[item]]="По штрихкоду",ТабПозиции[[#This Row],[item]]="Посылка"),ТабПозиции[[#This Row],[deliverySumm]]+ТабПозиции[[#This Row],[deliveryPost]],SUM(N744:P744))</f>
        <v>1299</v>
      </c>
      <c r="R744" s="41">
        <v>1299</v>
      </c>
      <c r="S744" s="46">
        <f>ТабПозиции[[#This Row],[totalSumm]]-ТабПозиции[[#This Row],[payment]]</f>
        <v>0</v>
      </c>
      <c r="T744" s="18" t="s">
        <v>970</v>
      </c>
      <c r="U744" s="40" t="s">
        <v>545</v>
      </c>
      <c r="V744" s="40" t="s">
        <v>545</v>
      </c>
      <c r="W744" s="40" t="s">
        <v>545</v>
      </c>
      <c r="X744" s="3"/>
      <c r="Y744"/>
    </row>
    <row r="745" spans="1:25" hidden="1" x14ac:dyDescent="0.25">
      <c r="A745" s="10">
        <v>214</v>
      </c>
      <c r="B745" s="1">
        <f>IFERROR(VLOOKUP(ТабПозиции[[#This Row],[orderNum]],ТабЗаказы[#Data],MATCH(B$7,ТабЗаказы[#Headers],0),0),"")</f>
        <v>45520</v>
      </c>
      <c r="C745" t="str">
        <f>MONTH(ТабПозиции[[#This Row],[date]])&amp;"/"&amp;YEAR(ТабПозиции[[#This Row],[date]])</f>
        <v>8/2024</v>
      </c>
      <c r="D745" s="1" t="str">
        <f>IFERROR(VLOOKUP(ТабПозиции[[#This Row],[orderNum]],ТабЗаказы[#Data],MATCH(D$7,ТабЗаказы[#Headers],0),0),"")</f>
        <v/>
      </c>
      <c r="E745" s="1" t="str">
        <f>IFERROR(VLOOKUP(ТабПозиции[[#This Row],[orderNum]],ТабЗаказы[#Data],MATCH(E$7,ТабЗаказы[#Headers],0),0),"")</f>
        <v/>
      </c>
      <c r="F745" s="10" t="s">
        <v>32</v>
      </c>
      <c r="G745" s="40" t="s">
        <v>545</v>
      </c>
      <c r="I745" s="18">
        <v>45520</v>
      </c>
      <c r="J745" s="10">
        <v>1</v>
      </c>
      <c r="K745" s="10">
        <v>5915</v>
      </c>
      <c r="L745">
        <v>5915</v>
      </c>
      <c r="M745" s="10">
        <v>5915</v>
      </c>
      <c r="N745">
        <f t="shared" si="13"/>
        <v>5915</v>
      </c>
      <c r="P7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Row],[orderNum]],ТабПозиции[orderSumm])&gt;1500),ABS(N745*VLOOKUP(ТабПозиции[[#This Row],[orderNum]],ТабЗаказы[#Data],MATCH("Percent",ТабЗаказы[#Headers],0),0))/100,200/COUNTIF(ТабПозиции[orderNum],ТабПозиции[[#This Row],[orderNum]])),0),"")</f>
        <v>887</v>
      </c>
      <c r="Q745">
        <f>IF(OR(ТабПозиции[[#This Row],[item]]="По штрихкоду",ТабПозиции[[#This Row],[item]]="Посылка"),ТабПозиции[[#This Row],[deliverySumm]]+ТабПозиции[[#This Row],[deliveryPost]],SUM(N745:P745))</f>
        <v>887</v>
      </c>
      <c r="R745" s="41">
        <v>887</v>
      </c>
      <c r="S745" s="46">
        <f>ТабПозиции[[#This Row],[totalSumm]]-ТабПозиции[[#This Row],[payment]]</f>
        <v>0</v>
      </c>
      <c r="T745" s="18" t="s">
        <v>960</v>
      </c>
      <c r="U745" s="40" t="s">
        <v>545</v>
      </c>
      <c r="V745" s="40" t="s">
        <v>545</v>
      </c>
      <c r="W745" s="40" t="s">
        <v>545</v>
      </c>
      <c r="X745" s="3"/>
      <c r="Y745"/>
    </row>
    <row r="746" spans="1:25" hidden="1" x14ac:dyDescent="0.25">
      <c r="A746" s="10">
        <v>215</v>
      </c>
      <c r="B746" s="1">
        <f>IFERROR(VLOOKUP(ТабПозиции[[#This Row],[orderNum]],ТабЗаказы[#Data],MATCH(B$7,ТабЗаказы[#Headers],0),0),"")</f>
        <v>45520</v>
      </c>
      <c r="C746" t="str">
        <f>MONTH(ТабПозиции[[#This Row],[date]])&amp;"/"&amp;YEAR(ТабПозиции[[#This Row],[date]])</f>
        <v>8/2024</v>
      </c>
      <c r="D746" s="1" t="str">
        <f>IFERROR(VLOOKUP(ТабПозиции[[#This Row],[orderNum]],ТабЗаказы[#Data],MATCH(D$7,ТабЗаказы[#Headers],0),0),"")</f>
        <v/>
      </c>
      <c r="E746" s="1" t="str">
        <f>IFERROR(VLOOKUP(ТабПозиции[[#This Row],[orderNum]],ТабЗаказы[#Data],MATCH(E$7,ТабЗаказы[#Headers],0),0),"")</f>
        <v/>
      </c>
      <c r="F746" s="16" t="s">
        <v>1215</v>
      </c>
      <c r="G746" s="40" t="s">
        <v>545</v>
      </c>
      <c r="I746" s="18">
        <v>45522</v>
      </c>
      <c r="J746" s="10">
        <v>1</v>
      </c>
      <c r="K746" s="10">
        <v>239</v>
      </c>
      <c r="L746">
        <v>239</v>
      </c>
      <c r="M746" s="10">
        <v>244</v>
      </c>
      <c r="N746">
        <f t="shared" si="13"/>
        <v>244</v>
      </c>
      <c r="P7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Row],[orderNum]],ТабПозиции[orderSumm])&gt;1500),ABS(N746*VLOOKUP(ТабПозиции[[#This Row],[orderNum]],ТабЗаказы[#Data],MATCH("Percent",ТабЗаказы[#Headers],0),0))/100,200/COUNTIF(ТабПозиции[orderNum],ТабПозиции[[#This Row],[orderNum]])),0),"")</f>
        <v>37</v>
      </c>
      <c r="Q746">
        <f>IF(OR(ТабПозиции[[#This Row],[item]]="По штрихкоду",ТабПозиции[[#This Row],[item]]="Посылка"),ТабПозиции[[#This Row],[deliverySumm]]+ТабПозиции[[#This Row],[deliveryPost]],SUM(N746:P746))</f>
        <v>281</v>
      </c>
      <c r="R746" s="41">
        <v>281</v>
      </c>
      <c r="S746" s="46">
        <f>ТабПозиции[[#This Row],[totalSumm]]-ТабПозиции[[#This Row],[payment]]</f>
        <v>0</v>
      </c>
      <c r="T746" s="18" t="s">
        <v>960</v>
      </c>
      <c r="U746" s="40" t="s">
        <v>545</v>
      </c>
      <c r="V746" s="40" t="s">
        <v>545</v>
      </c>
      <c r="W746" s="40" t="s">
        <v>545</v>
      </c>
      <c r="X746" s="3"/>
      <c r="Y746"/>
    </row>
    <row r="747" spans="1:25" hidden="1" x14ac:dyDescent="0.25">
      <c r="A747" s="10">
        <v>215</v>
      </c>
      <c r="B747" s="1">
        <f>IFERROR(VLOOKUP(ТабПозиции[[#This Row],[orderNum]],ТабЗаказы[#Data],MATCH(B$7,ТабЗаказы[#Headers],0),0),"")</f>
        <v>45520</v>
      </c>
      <c r="C747" t="str">
        <f>MONTH(ТабПозиции[[#This Row],[date]])&amp;"/"&amp;YEAR(ТабПозиции[[#This Row],[date]])</f>
        <v>8/2024</v>
      </c>
      <c r="D747" s="1" t="str">
        <f>IFERROR(VLOOKUP(ТабПозиции[[#This Row],[orderNum]],ТабЗаказы[#Data],MATCH(D$7,ТабЗаказы[#Headers],0),0),"")</f>
        <v/>
      </c>
      <c r="E747" s="1" t="str">
        <f>IFERROR(VLOOKUP(ТабПозиции[[#This Row],[orderNum]],ТабЗаказы[#Data],MATCH(E$7,ТабЗаказы[#Headers],0),0),"")</f>
        <v/>
      </c>
      <c r="F747" s="16" t="s">
        <v>1216</v>
      </c>
      <c r="G747" s="40" t="s">
        <v>545</v>
      </c>
      <c r="I747" s="18">
        <v>45522</v>
      </c>
      <c r="J747" s="10">
        <v>1</v>
      </c>
      <c r="K747" s="10">
        <v>633</v>
      </c>
      <c r="L747">
        <v>633</v>
      </c>
      <c r="M747" s="10">
        <v>682</v>
      </c>
      <c r="N747">
        <f t="shared" si="13"/>
        <v>682</v>
      </c>
      <c r="P7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Row],[orderNum]],ТабПозиции[orderSumm])&gt;1500),ABS(N747*VLOOKUP(ТабПозиции[[#This Row],[orderNum]],ТабЗаказы[#Data],MATCH("Percent",ТабЗаказы[#Headers],0),0))/100,200/COUNTIF(ТабПозиции[orderNum],ТабПозиции[[#This Row],[orderNum]])),0),"")</f>
        <v>102</v>
      </c>
      <c r="Q747">
        <f>IF(OR(ТабПозиции[[#This Row],[item]]="По штрихкоду",ТабПозиции[[#This Row],[item]]="Посылка"),ТабПозиции[[#This Row],[deliverySumm]]+ТабПозиции[[#This Row],[deliveryPost]],SUM(N747:P747))</f>
        <v>784</v>
      </c>
      <c r="R747" s="41">
        <v>784</v>
      </c>
      <c r="S747" s="46">
        <f>ТабПозиции[[#This Row],[totalSumm]]-ТабПозиции[[#This Row],[payment]]</f>
        <v>0</v>
      </c>
      <c r="T747" s="18" t="s">
        <v>960</v>
      </c>
      <c r="U747" s="40" t="s">
        <v>545</v>
      </c>
      <c r="V747" s="40" t="s">
        <v>545</v>
      </c>
      <c r="W747" s="40" t="s">
        <v>545</v>
      </c>
      <c r="X747" s="3"/>
      <c r="Y747"/>
    </row>
    <row r="748" spans="1:25" hidden="1" x14ac:dyDescent="0.25">
      <c r="A748" s="10">
        <v>215</v>
      </c>
      <c r="B748" s="1">
        <f>IFERROR(VLOOKUP(ТабПозиции[[#This Row],[orderNum]],ТабЗаказы[#Data],MATCH(B$7,ТабЗаказы[#Headers],0),0),"")</f>
        <v>45520</v>
      </c>
      <c r="C748" t="str">
        <f>MONTH(ТабПозиции[[#This Row],[date]])&amp;"/"&amp;YEAR(ТабПозиции[[#This Row],[date]])</f>
        <v>8/2024</v>
      </c>
      <c r="D748" s="1" t="str">
        <f>IFERROR(VLOOKUP(ТабПозиции[[#This Row],[orderNum]],ТабЗаказы[#Data],MATCH(D$7,ТабЗаказы[#Headers],0),0),"")</f>
        <v/>
      </c>
      <c r="E748" s="1" t="str">
        <f>IFERROR(VLOOKUP(ТабПозиции[[#This Row],[orderNum]],ТабЗаказы[#Data],MATCH(E$7,ТабЗаказы[#Headers],0),0),"")</f>
        <v/>
      </c>
      <c r="F748" s="16" t="s">
        <v>1217</v>
      </c>
      <c r="G748" s="40" t="s">
        <v>545</v>
      </c>
      <c r="I748" s="18">
        <v>45522</v>
      </c>
      <c r="J748" s="10">
        <v>1</v>
      </c>
      <c r="K748" s="10">
        <v>495</v>
      </c>
      <c r="L748">
        <v>495</v>
      </c>
      <c r="M748" s="10">
        <v>531</v>
      </c>
      <c r="N748">
        <f t="shared" si="13"/>
        <v>531</v>
      </c>
      <c r="P7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Row],[orderNum]],ТабПозиции[orderSumm])&gt;1500),ABS(N748*VLOOKUP(ТабПозиции[[#This Row],[orderNum]],ТабЗаказы[#Data],MATCH("Percent",ТабЗаказы[#Headers],0),0))/100,200/COUNTIF(ТабПозиции[orderNum],ТабПозиции[[#This Row],[orderNum]])),0),"")</f>
        <v>80</v>
      </c>
      <c r="Q748">
        <f>IF(OR(ТабПозиции[[#This Row],[item]]="По штрихкоду",ТабПозиции[[#This Row],[item]]="Посылка"),ТабПозиции[[#This Row],[deliverySumm]]+ТабПозиции[[#This Row],[deliveryPost]],SUM(N748:P748))</f>
        <v>611</v>
      </c>
      <c r="R748" s="41">
        <v>611</v>
      </c>
      <c r="S748" s="46">
        <f>ТабПозиции[[#This Row],[totalSumm]]-ТабПозиции[[#This Row],[payment]]</f>
        <v>0</v>
      </c>
      <c r="T748" s="18" t="s">
        <v>960</v>
      </c>
      <c r="U748" s="40" t="s">
        <v>545</v>
      </c>
      <c r="V748" s="40" t="s">
        <v>545</v>
      </c>
      <c r="W748" s="40" t="s">
        <v>545</v>
      </c>
      <c r="X748" s="3"/>
      <c r="Y748"/>
    </row>
    <row r="749" spans="1:25" hidden="1" x14ac:dyDescent="0.25">
      <c r="A749" s="10">
        <v>215</v>
      </c>
      <c r="B749" s="1">
        <f>IFERROR(VLOOKUP(ТабПозиции[[#This Row],[orderNum]],ТабЗаказы[#Data],MATCH(B$7,ТабЗаказы[#Headers],0),0),"")</f>
        <v>45520</v>
      </c>
      <c r="C749" t="str">
        <f>MONTH(ТабПозиции[[#This Row],[date]])&amp;"/"&amp;YEAR(ТабПозиции[[#This Row],[date]])</f>
        <v>8/2024</v>
      </c>
      <c r="D749" s="1" t="str">
        <f>IFERROR(VLOOKUP(ТабПозиции[[#This Row],[orderNum]],ТабЗаказы[#Data],MATCH(D$7,ТабЗаказы[#Headers],0),0),"")</f>
        <v/>
      </c>
      <c r="E749" s="1" t="str">
        <f>IFERROR(VLOOKUP(ТабПозиции[[#This Row],[orderNum]],ТабЗаказы[#Data],MATCH(E$7,ТабЗаказы[#Headers],0),0),"")</f>
        <v/>
      </c>
      <c r="F749" s="16" t="s">
        <v>1218</v>
      </c>
      <c r="G749" s="40" t="s">
        <v>545</v>
      </c>
      <c r="I749" s="18">
        <v>45522</v>
      </c>
      <c r="J749" s="10">
        <v>1</v>
      </c>
      <c r="K749" s="10">
        <v>281</v>
      </c>
      <c r="L749">
        <v>281</v>
      </c>
      <c r="M749" s="10">
        <v>290</v>
      </c>
      <c r="N749">
        <f t="shared" si="13"/>
        <v>290</v>
      </c>
      <c r="P7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Row],[orderNum]],ТабПозиции[orderSumm])&gt;1500),ABS(N749*VLOOKUP(ТабПозиции[[#This Row],[orderNum]],ТабЗаказы[#Data],MATCH("Percent",ТабЗаказы[#Headers],0),0))/100,200/COUNTIF(ТабПозиции[orderNum],ТабПозиции[[#This Row],[orderNum]])),0),"")</f>
        <v>44</v>
      </c>
      <c r="Q749">
        <f>IF(OR(ТабПозиции[[#This Row],[item]]="По штрихкоду",ТабПозиции[[#This Row],[item]]="Посылка"),ТабПозиции[[#This Row],[deliverySumm]]+ТабПозиции[[#This Row],[deliveryPost]],SUM(N749:P749))</f>
        <v>334</v>
      </c>
      <c r="R749" s="41">
        <v>334</v>
      </c>
      <c r="S749" s="46">
        <f>ТабПозиции[[#This Row],[totalSumm]]-ТабПозиции[[#This Row],[payment]]</f>
        <v>0</v>
      </c>
      <c r="T749" s="18" t="s">
        <v>960</v>
      </c>
      <c r="U749" s="40" t="s">
        <v>545</v>
      </c>
      <c r="V749" s="40" t="s">
        <v>545</v>
      </c>
      <c r="W749" s="40" t="s">
        <v>545</v>
      </c>
      <c r="X749" s="3"/>
      <c r="Y749"/>
    </row>
    <row r="750" spans="1:25" hidden="1" x14ac:dyDescent="0.25">
      <c r="A750" s="10">
        <v>215</v>
      </c>
      <c r="B750" s="1">
        <f>IFERROR(VLOOKUP(ТабПозиции[[#This Row],[orderNum]],ТабЗаказы[#Data],MATCH(B$7,ТабЗаказы[#Headers],0),0),"")</f>
        <v>45520</v>
      </c>
      <c r="C750" t="str">
        <f>MONTH(ТабПозиции[[#This Row],[date]])&amp;"/"&amp;YEAR(ТабПозиции[[#This Row],[date]])</f>
        <v>8/2024</v>
      </c>
      <c r="D750" s="1" t="str">
        <f>IFERROR(VLOOKUP(ТабПозиции[[#This Row],[orderNum]],ТабЗаказы[#Data],MATCH(D$7,ТабЗаказы[#Headers],0),0),"")</f>
        <v/>
      </c>
      <c r="E750" s="1" t="str">
        <f>IFERROR(VLOOKUP(ТабПозиции[[#This Row],[orderNum]],ТабЗаказы[#Data],MATCH(E$7,ТабЗаказы[#Headers],0),0),"")</f>
        <v/>
      </c>
      <c r="F750" s="16" t="s">
        <v>701</v>
      </c>
      <c r="G750" s="40" t="s">
        <v>545</v>
      </c>
      <c r="I750" s="18">
        <v>45522</v>
      </c>
      <c r="J750" s="10">
        <v>1</v>
      </c>
      <c r="K750" s="10">
        <v>268</v>
      </c>
      <c r="L750">
        <v>268</v>
      </c>
      <c r="M750" s="10">
        <v>283</v>
      </c>
      <c r="N750">
        <f t="shared" si="13"/>
        <v>283</v>
      </c>
      <c r="P7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Row],[orderNum]],ТабПозиции[orderSumm])&gt;1500),ABS(N750*VLOOKUP(ТабПозиции[[#This Row],[orderNum]],ТабЗаказы[#Data],MATCH("Percent",ТабЗаказы[#Headers],0),0))/100,200/COUNTIF(ТабПозиции[orderNum],ТабПозиции[[#This Row],[orderNum]])),0),"")</f>
        <v>42</v>
      </c>
      <c r="Q750">
        <f>IF(OR(ТабПозиции[[#This Row],[item]]="По штрихкоду",ТабПозиции[[#This Row],[item]]="Посылка"),ТабПозиции[[#This Row],[deliverySumm]]+ТабПозиции[[#This Row],[deliveryPost]],SUM(N750:P750))</f>
        <v>325</v>
      </c>
      <c r="R750" s="41">
        <v>325</v>
      </c>
      <c r="S750" s="46">
        <f>ТабПозиции[[#This Row],[totalSumm]]-ТабПозиции[[#This Row],[payment]]</f>
        <v>0</v>
      </c>
      <c r="T750" s="18" t="s">
        <v>970</v>
      </c>
      <c r="U750" s="40" t="s">
        <v>545</v>
      </c>
      <c r="V750" s="40" t="s">
        <v>545</v>
      </c>
      <c r="W750" s="40" t="s">
        <v>545</v>
      </c>
      <c r="X750" s="3"/>
      <c r="Y750"/>
    </row>
    <row r="751" spans="1:25" hidden="1" x14ac:dyDescent="0.25">
      <c r="A751" s="10">
        <v>215</v>
      </c>
      <c r="B751" s="1">
        <f>IFERROR(VLOOKUP(ТабПозиции[[#This Row],[orderNum]],ТабЗаказы[#Data],MATCH(B$7,ТабЗаказы[#Headers],0),0),"")</f>
        <v>45520</v>
      </c>
      <c r="C751" t="str">
        <f>MONTH(ТабПозиции[[#This Row],[date]])&amp;"/"&amp;YEAR(ТабПозиции[[#This Row],[date]])</f>
        <v>8/2024</v>
      </c>
      <c r="D751" s="1" t="str">
        <f>IFERROR(VLOOKUP(ТабПозиции[[#This Row],[orderNum]],ТабЗаказы[#Data],MATCH(D$7,ТабЗаказы[#Headers],0),0),"")</f>
        <v/>
      </c>
      <c r="E751" s="1" t="str">
        <f>IFERROR(VLOOKUP(ТабПозиции[[#This Row],[orderNum]],ТабЗаказы[#Data],MATCH(E$7,ТабЗаказы[#Headers],0),0),"")</f>
        <v/>
      </c>
      <c r="F751" s="16" t="s">
        <v>1219</v>
      </c>
      <c r="G751" s="40" t="s">
        <v>545</v>
      </c>
      <c r="I751" s="18">
        <v>45524</v>
      </c>
      <c r="J751" s="10">
        <v>1</v>
      </c>
      <c r="K751" s="10">
        <v>256</v>
      </c>
      <c r="L751">
        <v>256</v>
      </c>
      <c r="M751" s="10">
        <v>270</v>
      </c>
      <c r="N751">
        <f t="shared" si="13"/>
        <v>270</v>
      </c>
      <c r="P7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Row],[orderNum]],ТабПозиции[orderSumm])&gt;1500),ABS(N751*VLOOKUP(ТабПозиции[[#This Row],[orderNum]],ТабЗаказы[#Data],MATCH("Percent",ТабЗаказы[#Headers],0),0))/100,200/COUNTIF(ТабПозиции[orderNum],ТабПозиции[[#This Row],[orderNum]])),0),"")</f>
        <v>41</v>
      </c>
      <c r="Q751">
        <f>IF(OR(ТабПозиции[[#This Row],[item]]="По штрихкоду",ТабПозиции[[#This Row],[item]]="Посылка"),ТабПозиции[[#This Row],[deliverySumm]]+ТабПозиции[[#This Row],[deliveryPost]],SUM(N751:P751))</f>
        <v>311</v>
      </c>
      <c r="R751" s="41">
        <v>311</v>
      </c>
      <c r="S751" s="46">
        <f>ТабПозиции[[#This Row],[totalSumm]]-ТабПозиции[[#This Row],[payment]]</f>
        <v>0</v>
      </c>
      <c r="T751" s="18" t="s">
        <v>970</v>
      </c>
      <c r="U751" s="40" t="s">
        <v>545</v>
      </c>
      <c r="V751" s="40" t="s">
        <v>545</v>
      </c>
      <c r="W751" s="40" t="s">
        <v>545</v>
      </c>
      <c r="X751" s="3"/>
      <c r="Y751"/>
    </row>
    <row r="752" spans="1:25" hidden="1" x14ac:dyDescent="0.25">
      <c r="A752" s="10">
        <v>215</v>
      </c>
      <c r="B752" s="1">
        <f>IFERROR(VLOOKUP(ТабПозиции[[#This Row],[orderNum]],ТабЗаказы[#Data],MATCH(B$7,ТабЗаказы[#Headers],0),0),"")</f>
        <v>45520</v>
      </c>
      <c r="C752" t="str">
        <f>MONTH(ТабПозиции[[#This Row],[date]])&amp;"/"&amp;YEAR(ТабПозиции[[#This Row],[date]])</f>
        <v>8/2024</v>
      </c>
      <c r="D752" s="1" t="str">
        <f>IFERROR(VLOOKUP(ТабПозиции[[#This Row],[orderNum]],ТабЗаказы[#Data],MATCH(D$7,ТабЗаказы[#Headers],0),0),"")</f>
        <v/>
      </c>
      <c r="E752" s="1" t="str">
        <f>IFERROR(VLOOKUP(ТабПозиции[[#This Row],[orderNum]],ТабЗаказы[#Data],MATCH(E$7,ТабЗаказы[#Headers],0),0),"")</f>
        <v/>
      </c>
      <c r="F752" s="16" t="s">
        <v>1220</v>
      </c>
      <c r="G752" s="40" t="s">
        <v>545</v>
      </c>
      <c r="I752" s="18">
        <v>45524</v>
      </c>
      <c r="J752" s="10">
        <v>1</v>
      </c>
      <c r="K752" s="10">
        <v>569</v>
      </c>
      <c r="L752">
        <v>569</v>
      </c>
      <c r="M752" s="10">
        <v>599</v>
      </c>
      <c r="N752">
        <f t="shared" si="13"/>
        <v>599</v>
      </c>
      <c r="P7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Row],[orderNum]],ТабПозиции[orderSumm])&gt;1500),ABS(N752*VLOOKUP(ТабПозиции[[#This Row],[orderNum]],ТабЗаказы[#Data],MATCH("Percent",ТабЗаказы[#Headers],0),0))/100,200/COUNTIF(ТабПозиции[orderNum],ТабПозиции[[#This Row],[orderNum]])),0),"")</f>
        <v>90</v>
      </c>
      <c r="Q752">
        <f>IF(OR(ТабПозиции[[#This Row],[item]]="По штрихкоду",ТабПозиции[[#This Row],[item]]="Посылка"),ТабПозиции[[#This Row],[deliverySumm]]+ТабПозиции[[#This Row],[deliveryPost]],SUM(N752:P752))</f>
        <v>689</v>
      </c>
      <c r="R752" s="41">
        <v>689</v>
      </c>
      <c r="S752" s="46">
        <f>ТабПозиции[[#This Row],[totalSumm]]-ТабПозиции[[#This Row],[payment]]</f>
        <v>0</v>
      </c>
      <c r="T752" s="18" t="s">
        <v>970</v>
      </c>
      <c r="U752" s="40" t="s">
        <v>545</v>
      </c>
      <c r="V752" s="40" t="s">
        <v>545</v>
      </c>
      <c r="W752" s="40" t="s">
        <v>545</v>
      </c>
      <c r="X752" s="3"/>
      <c r="Y752"/>
    </row>
    <row r="753" spans="1:25" hidden="1" x14ac:dyDescent="0.25">
      <c r="A753" s="10">
        <v>215</v>
      </c>
      <c r="B753" s="1">
        <f>IFERROR(VLOOKUP(ТабПозиции[[#This Row],[orderNum]],ТабЗаказы[#Data],MATCH(B$7,ТабЗаказы[#Headers],0),0),"")</f>
        <v>45520</v>
      </c>
      <c r="C753" t="str">
        <f>MONTH(ТабПозиции[[#This Row],[date]])&amp;"/"&amp;YEAR(ТабПозиции[[#This Row],[date]])</f>
        <v>8/2024</v>
      </c>
      <c r="D753" s="1" t="str">
        <f>IFERROR(VLOOKUP(ТабПозиции[[#This Row],[orderNum]],ТабЗаказы[#Data],MATCH(D$7,ТабЗаказы[#Headers],0),0),"")</f>
        <v/>
      </c>
      <c r="E753" s="1" t="str">
        <f>IFERROR(VLOOKUP(ТабПозиции[[#This Row],[orderNum]],ТабЗаказы[#Data],MATCH(E$7,ТабЗаказы[#Headers],0),0),"")</f>
        <v/>
      </c>
      <c r="F753" s="16" t="s">
        <v>1221</v>
      </c>
      <c r="G753" s="40" t="s">
        <v>545</v>
      </c>
      <c r="I753" s="18">
        <v>45522</v>
      </c>
      <c r="J753" s="10">
        <v>1</v>
      </c>
      <c r="K753" s="10">
        <v>153</v>
      </c>
      <c r="L753">
        <v>153</v>
      </c>
      <c r="M753" s="10">
        <v>162</v>
      </c>
      <c r="N753">
        <f t="shared" si="13"/>
        <v>162</v>
      </c>
      <c r="P7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Row],[orderNum]],ТабПозиции[orderSumm])&gt;1500),ABS(N753*VLOOKUP(ТабПозиции[[#This Row],[orderNum]],ТабЗаказы[#Data],MATCH("Percent",ТабЗаказы[#Headers],0),0))/100,200/COUNTIF(ТабПозиции[orderNum],ТабПозиции[[#This Row],[orderNum]])),0),"")</f>
        <v>24</v>
      </c>
      <c r="Q753">
        <f>IF(OR(ТабПозиции[[#This Row],[item]]="По штрихкоду",ТабПозиции[[#This Row],[item]]="Посылка"),ТабПозиции[[#This Row],[deliverySumm]]+ТабПозиции[[#This Row],[deliveryPost]],SUM(N753:P753))</f>
        <v>186</v>
      </c>
      <c r="R753" s="41">
        <v>186</v>
      </c>
      <c r="S753" s="46">
        <f>ТабПозиции[[#This Row],[totalSumm]]-ТабПозиции[[#This Row],[payment]]</f>
        <v>0</v>
      </c>
      <c r="T753" s="18" t="s">
        <v>970</v>
      </c>
      <c r="U753" s="40" t="s">
        <v>545</v>
      </c>
      <c r="V753" s="40" t="s">
        <v>545</v>
      </c>
      <c r="W753" s="40" t="s">
        <v>545</v>
      </c>
      <c r="X753" s="3"/>
      <c r="Y753"/>
    </row>
    <row r="754" spans="1:25" hidden="1" x14ac:dyDescent="0.25">
      <c r="A754" s="10">
        <v>215</v>
      </c>
      <c r="B754" s="1">
        <f>IFERROR(VLOOKUP(ТабПозиции[[#This Row],[orderNum]],ТабЗаказы[#Data],MATCH(B$7,ТабЗаказы[#Headers],0),0),"")</f>
        <v>45520</v>
      </c>
      <c r="C754" t="str">
        <f>MONTH(ТабПозиции[[#This Row],[date]])&amp;"/"&amp;YEAR(ТабПозиции[[#This Row],[date]])</f>
        <v>8/2024</v>
      </c>
      <c r="D754" s="1" t="str">
        <f>IFERROR(VLOOKUP(ТабПозиции[[#This Row],[orderNum]],ТабЗаказы[#Data],MATCH(D$7,ТабЗаказы[#Headers],0),0),"")</f>
        <v/>
      </c>
      <c r="E754" s="1" t="str">
        <f>IFERROR(VLOOKUP(ТабПозиции[[#This Row],[orderNum]],ТабЗаказы[#Data],MATCH(E$7,ТабЗаказы[#Headers],0),0),"")</f>
        <v/>
      </c>
      <c r="F754" s="16" t="s">
        <v>1222</v>
      </c>
      <c r="G754" s="40" t="s">
        <v>545</v>
      </c>
      <c r="I754" s="18">
        <v>45527</v>
      </c>
      <c r="J754" s="10">
        <v>1</v>
      </c>
      <c r="K754" s="10">
        <v>385</v>
      </c>
      <c r="L754">
        <v>385</v>
      </c>
      <c r="M754" s="10">
        <v>393</v>
      </c>
      <c r="N754">
        <f t="shared" si="13"/>
        <v>393</v>
      </c>
      <c r="P7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Row],[orderNum]],ТабПозиции[orderSumm])&gt;1500),ABS(N754*VLOOKUP(ТабПозиции[[#This Row],[orderNum]],ТабЗаказы[#Data],MATCH("Percent",ТабЗаказы[#Headers],0),0))/100,200/COUNTIF(ТабПозиции[orderNum],ТабПозиции[[#This Row],[orderNum]])),0),"")</f>
        <v>59</v>
      </c>
      <c r="Q754">
        <f>IF(OR(ТабПозиции[[#This Row],[item]]="По штрихкоду",ТабПозиции[[#This Row],[item]]="Посылка"),ТабПозиции[[#This Row],[deliverySumm]]+ТабПозиции[[#This Row],[deliveryPost]],SUM(N754:P754))</f>
        <v>452</v>
      </c>
      <c r="R754" s="41">
        <v>452</v>
      </c>
      <c r="S754" s="46">
        <f>ТабПозиции[[#This Row],[totalSumm]]-ТабПозиции[[#This Row],[payment]]</f>
        <v>0</v>
      </c>
      <c r="T754" s="18" t="s">
        <v>960</v>
      </c>
      <c r="U754" s="40" t="s">
        <v>545</v>
      </c>
      <c r="V754" s="40" t="s">
        <v>545</v>
      </c>
      <c r="W754" s="40" t="s">
        <v>545</v>
      </c>
      <c r="X754" s="3"/>
      <c r="Y754"/>
    </row>
    <row r="755" spans="1:25" hidden="1" x14ac:dyDescent="0.25">
      <c r="A755" s="10">
        <v>215</v>
      </c>
      <c r="B755" s="1">
        <f>IFERROR(VLOOKUP(ТабПозиции[[#This Row],[orderNum]],ТабЗаказы[#Data],MATCH(B$7,ТабЗаказы[#Headers],0),0),"")</f>
        <v>45520</v>
      </c>
      <c r="C755" t="str">
        <f>MONTH(ТабПозиции[[#This Row],[date]])&amp;"/"&amp;YEAR(ТабПозиции[[#This Row],[date]])</f>
        <v>8/2024</v>
      </c>
      <c r="D755" s="1" t="str">
        <f>IFERROR(VLOOKUP(ТабПозиции[[#This Row],[orderNum]],ТабЗаказы[#Data],MATCH(D$7,ТабЗаказы[#Headers],0),0),"")</f>
        <v/>
      </c>
      <c r="E755" s="1" t="str">
        <f>IFERROR(VLOOKUP(ТабПозиции[[#This Row],[orderNum]],ТабЗаказы[#Data],MATCH(E$7,ТабЗаказы[#Headers],0),0),"")</f>
        <v/>
      </c>
      <c r="F755" s="16" t="s">
        <v>1223</v>
      </c>
      <c r="G755" s="40" t="s">
        <v>545</v>
      </c>
      <c r="I755" s="18">
        <v>45522</v>
      </c>
      <c r="J755" s="10">
        <v>1</v>
      </c>
      <c r="K755" s="10">
        <v>253</v>
      </c>
      <c r="L755">
        <v>253</v>
      </c>
      <c r="M755" s="10">
        <v>261</v>
      </c>
      <c r="N755">
        <f t="shared" si="13"/>
        <v>261</v>
      </c>
      <c r="P7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Row],[orderNum]],ТабПозиции[orderSumm])&gt;1500),ABS(N755*VLOOKUP(ТабПозиции[[#This Row],[orderNum]],ТабЗаказы[#Data],MATCH("Percent",ТабЗаказы[#Headers],0),0))/100,200/COUNTIF(ТабПозиции[orderNum],ТабПозиции[[#This Row],[orderNum]])),0),"")</f>
        <v>39</v>
      </c>
      <c r="Q755">
        <f>IF(OR(ТабПозиции[[#This Row],[item]]="По штрихкоду",ТабПозиции[[#This Row],[item]]="Посылка"),ТабПозиции[[#This Row],[deliverySumm]]+ТабПозиции[[#This Row],[deliveryPost]],SUM(N755:P755))</f>
        <v>300</v>
      </c>
      <c r="R755" s="41">
        <v>300</v>
      </c>
      <c r="S755" s="46">
        <f>ТабПозиции[[#This Row],[totalSumm]]-ТабПозиции[[#This Row],[payment]]</f>
        <v>0</v>
      </c>
      <c r="T755" s="18" t="s">
        <v>960</v>
      </c>
      <c r="U755" s="40" t="s">
        <v>545</v>
      </c>
      <c r="V755" s="40" t="s">
        <v>545</v>
      </c>
      <c r="W755" s="40" t="s">
        <v>545</v>
      </c>
      <c r="X755" s="3"/>
      <c r="Y755"/>
    </row>
    <row r="756" spans="1:25" hidden="1" x14ac:dyDescent="0.25">
      <c r="A756" s="10">
        <v>215</v>
      </c>
      <c r="B756" s="1">
        <f>IFERROR(VLOOKUP(ТабПозиции[[#This Row],[orderNum]],ТабЗаказы[#Data],MATCH(B$7,ТабЗаказы[#Headers],0),0),"")</f>
        <v>45520</v>
      </c>
      <c r="C756" t="str">
        <f>MONTH(ТабПозиции[[#This Row],[date]])&amp;"/"&amp;YEAR(ТабПозиции[[#This Row],[date]])</f>
        <v>8/2024</v>
      </c>
      <c r="D756" s="1" t="str">
        <f>IFERROR(VLOOKUP(ТабПозиции[[#This Row],[orderNum]],ТабЗаказы[#Data],MATCH(D$7,ТабЗаказы[#Headers],0),0),"")</f>
        <v/>
      </c>
      <c r="E756" s="1" t="str">
        <f>IFERROR(VLOOKUP(ТабПозиции[[#This Row],[orderNum]],ТабЗаказы[#Data],MATCH(E$7,ТабЗаказы[#Headers],0),0),"")</f>
        <v/>
      </c>
      <c r="F756" s="16" t="s">
        <v>1224</v>
      </c>
      <c r="G756" s="40" t="s">
        <v>545</v>
      </c>
      <c r="I756" s="18">
        <v>45524</v>
      </c>
      <c r="J756" s="10">
        <v>1</v>
      </c>
      <c r="K756" s="10">
        <v>1241</v>
      </c>
      <c r="L756">
        <v>1241</v>
      </c>
      <c r="M756" s="10">
        <v>1307</v>
      </c>
      <c r="N756">
        <f t="shared" si="13"/>
        <v>1307</v>
      </c>
      <c r="P7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Row],[orderNum]],ТабПозиции[orderSumm])&gt;1500),ABS(N756*VLOOKUP(ТабПозиции[[#This Row],[orderNum]],ТабЗаказы[#Data],MATCH("Percent",ТабЗаказы[#Headers],0),0))/100,200/COUNTIF(ТабПозиции[orderNum],ТабПозиции[[#This Row],[orderNum]])),0),"")</f>
        <v>196</v>
      </c>
      <c r="Q756">
        <f>IF(OR(ТабПозиции[[#This Row],[item]]="По штрихкоду",ТабПозиции[[#This Row],[item]]="Посылка"),ТабПозиции[[#This Row],[deliverySumm]]+ТабПозиции[[#This Row],[deliveryPost]],SUM(N756:P756))</f>
        <v>1503</v>
      </c>
      <c r="R756" s="41">
        <v>1503</v>
      </c>
      <c r="S756" s="46">
        <f>ТабПозиции[[#This Row],[totalSumm]]-ТабПозиции[[#This Row],[payment]]</f>
        <v>0</v>
      </c>
      <c r="T756" s="18" t="s">
        <v>970</v>
      </c>
      <c r="U756" s="40" t="s">
        <v>545</v>
      </c>
      <c r="V756" s="40" t="s">
        <v>545</v>
      </c>
      <c r="W756" s="40" t="s">
        <v>545</v>
      </c>
      <c r="X756" s="3"/>
      <c r="Y756"/>
    </row>
    <row r="757" spans="1:25" hidden="1" x14ac:dyDescent="0.25">
      <c r="A757" s="10">
        <v>216</v>
      </c>
      <c r="B757" s="1">
        <f>IFERROR(VLOOKUP(ТабПозиции[[#This Row],[orderNum]],ТабЗаказы[#Data],MATCH(B$7,ТабЗаказы[#Headers],0),0),"")</f>
        <v>45521</v>
      </c>
      <c r="C757" t="str">
        <f>MONTH(ТабПозиции[[#This Row],[date]])&amp;"/"&amp;YEAR(ТабПозиции[[#This Row],[date]])</f>
        <v>8/2024</v>
      </c>
      <c r="D757" s="1" t="str">
        <f>IFERROR(VLOOKUP(ТабПозиции[[#This Row],[orderNum]],ТабЗаказы[#Data],MATCH(D$7,ТабЗаказы[#Headers],0),0),"")</f>
        <v/>
      </c>
      <c r="E757" s="1" t="str">
        <f>IFERROR(VLOOKUP(ТабПозиции[[#This Row],[orderNum]],ТабЗаказы[#Data],MATCH(E$7,ТабЗаказы[#Headers],0),0),"")</f>
        <v/>
      </c>
      <c r="F757" s="16" t="s">
        <v>1225</v>
      </c>
      <c r="G757" s="40" t="s">
        <v>545</v>
      </c>
      <c r="I757" s="18">
        <v>45522</v>
      </c>
      <c r="J757" s="10">
        <v>1</v>
      </c>
      <c r="K757" s="10">
        <v>1159</v>
      </c>
      <c r="L757">
        <v>1159</v>
      </c>
      <c r="M757" s="10">
        <v>1250</v>
      </c>
      <c r="N757">
        <f t="shared" si="13"/>
        <v>1250</v>
      </c>
      <c r="P7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Row],[orderNum]],ТабПозиции[orderSumm])&gt;1500),ABS(N757*VLOOKUP(ТабПозиции[[#This Row],[orderNum]],ТабЗаказы[#Data],MATCH("Percent",ТабЗаказы[#Headers],0),0))/100,200/COUNTIF(ТабПозиции[orderNum],ТабПозиции[[#This Row],[orderNum]])),0),"")</f>
        <v>188</v>
      </c>
      <c r="Q757">
        <f>IF(OR(ТабПозиции[[#This Row],[item]]="По штрихкоду",ТабПозиции[[#This Row],[item]]="Посылка"),ТабПозиции[[#This Row],[deliverySumm]]+ТабПозиции[[#This Row],[deliveryPost]],SUM(N757:P757))</f>
        <v>1438</v>
      </c>
      <c r="R757" s="41">
        <v>1438</v>
      </c>
      <c r="S757" s="46">
        <f>ТабПозиции[[#This Row],[totalSumm]]-ТабПозиции[[#This Row],[payment]]</f>
        <v>0</v>
      </c>
      <c r="T757" s="18" t="s">
        <v>960</v>
      </c>
      <c r="U757" s="40" t="s">
        <v>545</v>
      </c>
      <c r="V757" s="40" t="s">
        <v>545</v>
      </c>
      <c r="W757" s="40" t="s">
        <v>545</v>
      </c>
      <c r="X757" s="3"/>
      <c r="Y757"/>
    </row>
    <row r="758" spans="1:25" hidden="1" x14ac:dyDescent="0.25">
      <c r="A758" s="10">
        <v>216</v>
      </c>
      <c r="B758" s="1">
        <f>IFERROR(VLOOKUP(ТабПозиции[[#This Row],[orderNum]],ТабЗаказы[#Data],MATCH(B$7,ТабЗаказы[#Headers],0),0),"")</f>
        <v>45521</v>
      </c>
      <c r="C758" t="str">
        <f>MONTH(ТабПозиции[[#This Row],[date]])&amp;"/"&amp;YEAR(ТабПозиции[[#This Row],[date]])</f>
        <v>8/2024</v>
      </c>
      <c r="D758" s="1" t="str">
        <f>IFERROR(VLOOKUP(ТабПозиции[[#This Row],[orderNum]],ТабЗаказы[#Data],MATCH(D$7,ТабЗаказы[#Headers],0),0),"")</f>
        <v/>
      </c>
      <c r="E758" s="1" t="str">
        <f>IFERROR(VLOOKUP(ТабПозиции[[#This Row],[orderNum]],ТабЗаказы[#Data],MATCH(E$7,ТабЗаказы[#Headers],0),0),"")</f>
        <v/>
      </c>
      <c r="F758" s="16" t="s">
        <v>1226</v>
      </c>
      <c r="G758" s="40" t="s">
        <v>545</v>
      </c>
      <c r="H758" s="12" t="s">
        <v>1227</v>
      </c>
      <c r="I758" s="18">
        <v>45530</v>
      </c>
      <c r="J758" s="10">
        <v>1</v>
      </c>
      <c r="K758" s="10">
        <v>1000</v>
      </c>
      <c r="L758">
        <v>1000</v>
      </c>
      <c r="M758" s="10">
        <v>1000</v>
      </c>
      <c r="N758">
        <f t="shared" si="13"/>
        <v>1000</v>
      </c>
      <c r="O758" s="10">
        <v>1228.01</v>
      </c>
      <c r="P7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Row],[orderNum]],ТабПозиции[orderSumm])&gt;1500),ABS(N758*VLOOKUP(ТабПозиции[[#This Row],[orderNum]],ТабЗаказы[#Data],MATCH("Percent",ТабЗаказы[#Headers],0),0))/100,200/COUNTIF(ТабПозиции[orderNum],ТабПозиции[[#This Row],[orderNum]])),0),"")</f>
        <v>150</v>
      </c>
      <c r="Q758">
        <f>IF(OR(ТабПозиции[[#This Row],[item]]="По штрихкоду",ТабПозиции[[#This Row],[item]]="Посылка"),ТабПозиции[[#This Row],[deliverySumm]]+ТабПозиции[[#This Row],[deliveryPost]],SUM(N758:P758))</f>
        <v>2378.0100000000002</v>
      </c>
      <c r="R758" s="41">
        <v>2378.0100000000002</v>
      </c>
      <c r="S758" s="46">
        <f>ТабПозиции[[#This Row],[totalSumm]]-ТабПозиции[[#This Row],[payment]]</f>
        <v>0</v>
      </c>
      <c r="T758" s="18" t="s">
        <v>1021</v>
      </c>
      <c r="U758" s="40" t="s">
        <v>545</v>
      </c>
      <c r="V758" s="40" t="s">
        <v>545</v>
      </c>
      <c r="W758" s="40" t="s">
        <v>545</v>
      </c>
      <c r="X758" s="3"/>
      <c r="Y758"/>
    </row>
    <row r="759" spans="1:25" hidden="1" x14ac:dyDescent="0.25">
      <c r="A759" s="10">
        <v>191</v>
      </c>
      <c r="B759" s="1">
        <f>IFERROR(VLOOKUP(ТабПозиции[[#This Row],[orderNum]],ТабЗаказы[#Data],MATCH(B$7,ТабЗаказы[#Headers],0),0),"")</f>
        <v>45523</v>
      </c>
      <c r="C759" t="str">
        <f>MONTH(ТабПозиции[[#This Row],[date]])&amp;"/"&amp;YEAR(ТабПозиции[[#This Row],[date]])</f>
        <v>8/2024</v>
      </c>
      <c r="D759" s="1" t="str">
        <f>IFERROR(VLOOKUP(ТабПозиции[[#This Row],[orderNum]],ТабЗаказы[#Data],MATCH(D$7,ТабЗаказы[#Headers],0),0),"")</f>
        <v/>
      </c>
      <c r="E759" s="1" t="str">
        <f>IFERROR(VLOOKUP(ТабПозиции[[#This Row],[orderNum]],ТабЗаказы[#Data],MATCH(E$7,ТабЗаказы[#Headers],0),0),"")</f>
        <v/>
      </c>
      <c r="F759" s="10" t="s">
        <v>820</v>
      </c>
      <c r="G759" s="40" t="s">
        <v>545</v>
      </c>
      <c r="H759" s="25" t="s">
        <v>1228</v>
      </c>
      <c r="I759" s="18">
        <v>45541</v>
      </c>
      <c r="J759" s="10">
        <v>1</v>
      </c>
      <c r="K759" s="10">
        <f>30990-1952</f>
        <v>29038</v>
      </c>
      <c r="L759">
        <v>29038</v>
      </c>
      <c r="M759" s="10">
        <v>29038</v>
      </c>
      <c r="N759">
        <f t="shared" si="13"/>
        <v>29038</v>
      </c>
      <c r="P7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Row],[orderNum]],ТабПозиции[orderSumm])&gt;1500),ABS(N759*VLOOKUP(ТабПозиции[[#This Row],[orderNum]],ТабЗаказы[#Data],MATCH("Percent",ТабЗаказы[#Headers],0),0))/100,200/COUNTIF(ТабПозиции[orderNum],ТабПозиции[[#This Row],[orderNum]])),0),"")</f>
        <v>2904</v>
      </c>
      <c r="Q759">
        <f>IF(OR(ТабПозиции[[#This Row],[item]]="По штрихкоду",ТабПозиции[[#This Row],[item]]="Посылка"),ТабПозиции[[#This Row],[deliverySumm]]+ТабПозиции[[#This Row],[deliveryPost]],SUM(N759:P759))</f>
        <v>2904</v>
      </c>
      <c r="R759" s="41">
        <v>2904</v>
      </c>
      <c r="S759" s="46">
        <f>ТабПозиции[[#This Row],[totalSumm]]-ТабПозиции[[#This Row],[payment]]</f>
        <v>0</v>
      </c>
      <c r="T759" s="18" t="s">
        <v>1021</v>
      </c>
      <c r="U759" s="40" t="s">
        <v>545</v>
      </c>
      <c r="V759" s="40" t="s">
        <v>545</v>
      </c>
      <c r="W759" s="40" t="s">
        <v>545</v>
      </c>
      <c r="X759" s="3"/>
      <c r="Y759"/>
    </row>
    <row r="760" spans="1:25" hidden="1" x14ac:dyDescent="0.25">
      <c r="A760" s="10">
        <v>191</v>
      </c>
      <c r="B760" s="1">
        <f>IFERROR(VLOOKUP(ТабПозиции[[#This Row],[orderNum]],ТабЗаказы[#Data],MATCH(B$7,ТабЗаказы[#Headers],0),0),"")</f>
        <v>45523</v>
      </c>
      <c r="C760" t="str">
        <f>MONTH(ТабПозиции[[#This Row],[date]])&amp;"/"&amp;YEAR(ТабПозиции[[#This Row],[date]])</f>
        <v>8/2024</v>
      </c>
      <c r="D760" s="1" t="str">
        <f>IFERROR(VLOOKUP(ТабПозиции[[#This Row],[orderNum]],ТабЗаказы[#Data],MATCH(D$7,ТабЗаказы[#Headers],0),0),"")</f>
        <v/>
      </c>
      <c r="E760" s="1" t="str">
        <f>IFERROR(VLOOKUP(ТабПозиции[[#This Row],[orderNum]],ТабЗаказы[#Data],MATCH(E$7,ТабЗаказы[#Headers],0),0),"")</f>
        <v/>
      </c>
      <c r="F760" s="10" t="s">
        <v>820</v>
      </c>
      <c r="G760" s="40" t="s">
        <v>545</v>
      </c>
      <c r="H760" s="12" t="s">
        <v>1229</v>
      </c>
      <c r="I760" s="18">
        <v>45526</v>
      </c>
      <c r="J760" s="10">
        <v>1</v>
      </c>
      <c r="K760" s="10">
        <v>15000</v>
      </c>
      <c r="L760">
        <v>15000</v>
      </c>
      <c r="M760" s="10">
        <v>15000</v>
      </c>
      <c r="N760">
        <f t="shared" si="13"/>
        <v>15000</v>
      </c>
      <c r="O760" s="10">
        <v>0</v>
      </c>
      <c r="P7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Row],[orderNum]],ТабПозиции[orderSumm])&gt;1500),ABS(N760*VLOOKUP(ТабПозиции[[#This Row],[orderNum]],ТабЗаказы[#Data],MATCH("Percent",ТабЗаказы[#Headers],0),0))/100,200/COUNTIF(ТабПозиции[orderNum],ТабПозиции[[#This Row],[orderNum]])),0),"")</f>
        <v>1500</v>
      </c>
      <c r="Q760">
        <f>IF(OR(ТабПозиции[[#This Row],[item]]="По штрихкоду",ТабПозиции[[#This Row],[item]]="Посылка"),ТабПозиции[[#This Row],[deliverySumm]]+ТабПозиции[[#This Row],[deliveryPost]],SUM(N760:P760))</f>
        <v>1500</v>
      </c>
      <c r="R760" s="41">
        <v>1500</v>
      </c>
      <c r="S760" s="46">
        <f>ТабПозиции[[#This Row],[totalSumm]]-ТабПозиции[[#This Row],[payment]]</f>
        <v>0</v>
      </c>
      <c r="T760" s="18" t="s">
        <v>1021</v>
      </c>
      <c r="U760" s="40" t="s">
        <v>545</v>
      </c>
      <c r="V760" s="40" t="s">
        <v>545</v>
      </c>
      <c r="W760" s="40" t="s">
        <v>545</v>
      </c>
      <c r="X760" s="3"/>
      <c r="Y760"/>
    </row>
    <row r="761" spans="1:25" hidden="1" x14ac:dyDescent="0.25">
      <c r="A761" s="10">
        <v>191</v>
      </c>
      <c r="B761" s="1">
        <f>IFERROR(VLOOKUP(ТабПозиции[[#This Row],[orderNum]],ТабЗаказы[#Data],MATCH(B$7,ТабЗаказы[#Headers],0),0),"")</f>
        <v>45523</v>
      </c>
      <c r="C761" t="str">
        <f>MONTH(ТабПозиции[[#This Row],[date]])&amp;"/"&amp;YEAR(ТабПозиции[[#This Row],[date]])</f>
        <v>8/2024</v>
      </c>
      <c r="D761" s="1" t="str">
        <f>IFERROR(VLOOKUP(ТабПозиции[[#This Row],[orderNum]],ТабЗаказы[#Data],MATCH(D$7,ТабЗаказы[#Headers],0),0),"")</f>
        <v/>
      </c>
      <c r="E761" s="1" t="str">
        <f>IFERROR(VLOOKUP(ТабПозиции[[#This Row],[orderNum]],ТабЗаказы[#Data],MATCH(E$7,ТабЗаказы[#Headers],0),0),"")</f>
        <v/>
      </c>
      <c r="F761" s="10" t="s">
        <v>820</v>
      </c>
      <c r="G761" s="40" t="s">
        <v>545</v>
      </c>
      <c r="H761" s="12" t="s">
        <v>1230</v>
      </c>
      <c r="I761" s="18">
        <v>45526</v>
      </c>
      <c r="J761" s="10">
        <v>1</v>
      </c>
      <c r="K761" s="10">
        <v>2650</v>
      </c>
      <c r="L761">
        <v>2650</v>
      </c>
      <c r="M761" s="10">
        <v>2650</v>
      </c>
      <c r="N761">
        <f t="shared" si="13"/>
        <v>2650</v>
      </c>
      <c r="O761" s="10">
        <v>0</v>
      </c>
      <c r="P7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Row],[orderNum]],ТабПозиции[orderSumm])&gt;1500),ABS(N761*VLOOKUP(ТабПозиции[[#This Row],[orderNum]],ТабЗаказы[#Data],MATCH("Percent",ТабЗаказы[#Headers],0),0))/100,200/COUNTIF(ТабПозиции[orderNum],ТабПозиции[[#This Row],[orderNum]])),0),"")</f>
        <v>265</v>
      </c>
      <c r="Q761">
        <f>IF(OR(ТабПозиции[[#This Row],[item]]="По штрихкоду",ТабПозиции[[#This Row],[item]]="Посылка"),ТабПозиции[[#This Row],[deliverySumm]]+ТабПозиции[[#This Row],[deliveryPost]],SUM(N761:P761))</f>
        <v>265</v>
      </c>
      <c r="R761" s="41">
        <v>265</v>
      </c>
      <c r="S761" s="46">
        <f>ТабПозиции[[#This Row],[totalSumm]]-ТабПозиции[[#This Row],[payment]]</f>
        <v>0</v>
      </c>
      <c r="T761" s="18" t="s">
        <v>1021</v>
      </c>
      <c r="U761" s="40" t="s">
        <v>545</v>
      </c>
      <c r="V761" s="40" t="s">
        <v>545</v>
      </c>
      <c r="W761" s="40" t="s">
        <v>545</v>
      </c>
      <c r="X761" s="3"/>
      <c r="Y761"/>
    </row>
    <row r="762" spans="1:25" hidden="1" x14ac:dyDescent="0.25">
      <c r="A762" s="10">
        <v>217</v>
      </c>
      <c r="B762" s="1">
        <f>IFERROR(VLOOKUP(ТабПозиции[[#This Row],[orderNum]],ТабЗаказы[#Data],MATCH(B$7,ТабЗаказы[#Headers],0),0),"")</f>
        <v>45523</v>
      </c>
      <c r="C762" t="str">
        <f>MONTH(ТабПозиции[[#This Row],[date]])&amp;"/"&amp;YEAR(ТабПозиции[[#This Row],[date]])</f>
        <v>8/2024</v>
      </c>
      <c r="D762" s="1" t="str">
        <f>IFERROR(VLOOKUP(ТабПозиции[[#This Row],[orderNum]],ТабЗаказы[#Data],MATCH(D$7,ТабЗаказы[#Headers],0),0),"")</f>
        <v/>
      </c>
      <c r="E762" s="1" t="str">
        <f>IFERROR(VLOOKUP(ТабПозиции[[#This Row],[orderNum]],ТабЗаказы[#Data],MATCH(E$7,ТабЗаказы[#Headers],0),0),"")</f>
        <v/>
      </c>
      <c r="F762" s="16" t="s">
        <v>1231</v>
      </c>
      <c r="G762" s="40" t="s">
        <v>545</v>
      </c>
      <c r="I762" s="18">
        <v>45525</v>
      </c>
      <c r="J762" s="10">
        <v>1</v>
      </c>
      <c r="K762" s="10">
        <v>581</v>
      </c>
      <c r="L762">
        <v>581</v>
      </c>
      <c r="M762" s="10">
        <v>612</v>
      </c>
      <c r="N762">
        <f t="shared" si="13"/>
        <v>612</v>
      </c>
      <c r="P7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Row],[orderNum]],ТабПозиции[orderSumm])&gt;1500),ABS(N762*VLOOKUP(ТабПозиции[[#This Row],[orderNum]],ТабЗаказы[#Data],MATCH("Percent",ТабЗаказы[#Headers],0),0))/100,200/COUNTIF(ТабПозиции[orderNum],ТабПозиции[[#This Row],[orderNum]])),0),"")</f>
        <v>92</v>
      </c>
      <c r="Q762">
        <f>IF(OR(ТабПозиции[[#This Row],[item]]="По штрихкоду",ТабПозиции[[#This Row],[item]]="Посылка"),ТабПозиции[[#This Row],[deliverySumm]]+ТабПозиции[[#This Row],[deliveryPost]],SUM(N762:P762))</f>
        <v>704</v>
      </c>
      <c r="R762" s="41">
        <v>704</v>
      </c>
      <c r="S762" s="46">
        <f>ТабПозиции[[#This Row],[totalSumm]]-ТабПозиции[[#This Row],[payment]]</f>
        <v>0</v>
      </c>
      <c r="T762" s="18" t="s">
        <v>970</v>
      </c>
      <c r="U762" s="40" t="s">
        <v>545</v>
      </c>
      <c r="V762" s="40" t="s">
        <v>545</v>
      </c>
      <c r="W762" s="40" t="s">
        <v>545</v>
      </c>
      <c r="X762" s="3"/>
      <c r="Y762"/>
    </row>
    <row r="763" spans="1:25" hidden="1" x14ac:dyDescent="0.25">
      <c r="A763" s="10">
        <v>217</v>
      </c>
      <c r="B763" s="1">
        <f>IFERROR(VLOOKUP(ТабПозиции[[#This Row],[orderNum]],ТабЗаказы[#Data],MATCH(B$7,ТабЗаказы[#Headers],0),0),"")</f>
        <v>45523</v>
      </c>
      <c r="C763" t="str">
        <f>MONTH(ТабПозиции[[#This Row],[date]])&amp;"/"&amp;YEAR(ТабПозиции[[#This Row],[date]])</f>
        <v>8/2024</v>
      </c>
      <c r="D763" s="1" t="str">
        <f>IFERROR(VLOOKUP(ТабПозиции[[#This Row],[orderNum]],ТабЗаказы[#Data],MATCH(D$7,ТабЗаказы[#Headers],0),0),"")</f>
        <v/>
      </c>
      <c r="E763" s="1" t="str">
        <f>IFERROR(VLOOKUP(ТабПозиции[[#This Row],[orderNum]],ТабЗаказы[#Data],MATCH(E$7,ТабЗаказы[#Headers],0),0),"")</f>
        <v/>
      </c>
      <c r="F763" s="16" t="s">
        <v>1232</v>
      </c>
      <c r="G763" s="40" t="s">
        <v>545</v>
      </c>
      <c r="I763" s="18">
        <v>45527</v>
      </c>
      <c r="J763" s="10">
        <v>1</v>
      </c>
      <c r="K763" s="10">
        <v>2584</v>
      </c>
      <c r="L763">
        <v>2584</v>
      </c>
      <c r="M763" s="10">
        <v>2720</v>
      </c>
      <c r="N763">
        <f t="shared" si="13"/>
        <v>2720</v>
      </c>
      <c r="P7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Row],[orderNum]],ТабПозиции[orderSumm])&gt;1500),ABS(N763*VLOOKUP(ТабПозиции[[#This Row],[orderNum]],ТабЗаказы[#Data],MATCH("Percent",ТабЗаказы[#Headers],0),0))/100,200/COUNTIF(ТабПозиции[orderNum],ТабПозиции[[#This Row],[orderNum]])),0),"")</f>
        <v>408</v>
      </c>
      <c r="Q763">
        <f>IF(OR(ТабПозиции[[#This Row],[item]]="По штрихкоду",ТабПозиции[[#This Row],[item]]="Посылка"),ТабПозиции[[#This Row],[deliverySumm]]+ТабПозиции[[#This Row],[deliveryPost]],SUM(N763:P763))</f>
        <v>3128</v>
      </c>
      <c r="R763" s="41">
        <v>3128</v>
      </c>
      <c r="S763" s="46">
        <f>ТабПозиции[[#This Row],[totalSumm]]-ТабПозиции[[#This Row],[payment]]</f>
        <v>0</v>
      </c>
      <c r="T763" s="18" t="s">
        <v>970</v>
      </c>
      <c r="U763" s="40" t="s">
        <v>545</v>
      </c>
      <c r="V763" s="40" t="s">
        <v>545</v>
      </c>
      <c r="W763" s="40" t="s">
        <v>545</v>
      </c>
      <c r="X763" s="3"/>
      <c r="Y763"/>
    </row>
    <row r="764" spans="1:25" hidden="1" x14ac:dyDescent="0.25">
      <c r="A764" s="10">
        <v>217</v>
      </c>
      <c r="B764" s="1">
        <f>IFERROR(VLOOKUP(ТабПозиции[[#This Row],[orderNum]],ТабЗаказы[#Data],MATCH(B$7,ТабЗаказы[#Headers],0),0),"")</f>
        <v>45523</v>
      </c>
      <c r="C764" t="str">
        <f>MONTH(ТабПозиции[[#This Row],[date]])&amp;"/"&amp;YEAR(ТабПозиции[[#This Row],[date]])</f>
        <v>8/2024</v>
      </c>
      <c r="D764" s="1" t="str">
        <f>IFERROR(VLOOKUP(ТабПозиции[[#This Row],[orderNum]],ТабЗаказы[#Data],MATCH(D$7,ТабЗаказы[#Headers],0),0),"")</f>
        <v/>
      </c>
      <c r="E764" s="1" t="str">
        <f>IFERROR(VLOOKUP(ТабПозиции[[#This Row],[orderNum]],ТабЗаказы[#Data],MATCH(E$7,ТабЗаказы[#Headers],0),0),"")</f>
        <v/>
      </c>
      <c r="F764" s="16" t="s">
        <v>1233</v>
      </c>
      <c r="G764" s="40" t="s">
        <v>545</v>
      </c>
      <c r="I764" s="18">
        <v>45526</v>
      </c>
      <c r="J764" s="10">
        <v>1</v>
      </c>
      <c r="K764" s="10">
        <v>885</v>
      </c>
      <c r="L764">
        <v>885</v>
      </c>
      <c r="M764" s="10">
        <v>932</v>
      </c>
      <c r="N764">
        <f t="shared" si="13"/>
        <v>932</v>
      </c>
      <c r="P7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Row],[orderNum]],ТабПозиции[orderSumm])&gt;1500),ABS(N764*VLOOKUP(ТабПозиции[[#This Row],[orderNum]],ТабЗаказы[#Data],MATCH("Percent",ТабЗаказы[#Headers],0),0))/100,200/COUNTIF(ТабПозиции[orderNum],ТабПозиции[[#This Row],[orderNum]])),0),"")</f>
        <v>140</v>
      </c>
      <c r="Q764">
        <f>IF(OR(ТабПозиции[[#This Row],[item]]="По штрихкоду",ТабПозиции[[#This Row],[item]]="Посылка"),ТабПозиции[[#This Row],[deliverySumm]]+ТабПозиции[[#This Row],[deliveryPost]],SUM(N764:P764))</f>
        <v>1072</v>
      </c>
      <c r="R764" s="41">
        <v>1072</v>
      </c>
      <c r="S764" s="46">
        <f>ТабПозиции[[#This Row],[totalSumm]]-ТабПозиции[[#This Row],[payment]]</f>
        <v>0</v>
      </c>
      <c r="T764" s="18" t="s">
        <v>970</v>
      </c>
      <c r="U764" s="40" t="s">
        <v>545</v>
      </c>
      <c r="V764" s="40" t="s">
        <v>545</v>
      </c>
      <c r="W764" s="40" t="s">
        <v>545</v>
      </c>
      <c r="X764" s="3"/>
      <c r="Y764"/>
    </row>
    <row r="765" spans="1:25" hidden="1" x14ac:dyDescent="0.25">
      <c r="A765" s="10">
        <v>217</v>
      </c>
      <c r="B765" s="1">
        <f>IFERROR(VLOOKUP(ТабПозиции[[#This Row],[orderNum]],ТабЗаказы[#Data],MATCH(B$7,ТабЗаказы[#Headers],0),0),"")</f>
        <v>45523</v>
      </c>
      <c r="C765" t="str">
        <f>MONTH(ТабПозиции[[#This Row],[date]])&amp;"/"&amp;YEAR(ТабПозиции[[#This Row],[date]])</f>
        <v>8/2024</v>
      </c>
      <c r="D765" s="1" t="str">
        <f>IFERROR(VLOOKUP(ТабПозиции[[#This Row],[orderNum]],ТабЗаказы[#Data],MATCH(D$7,ТабЗаказы[#Headers],0),0),"")</f>
        <v/>
      </c>
      <c r="E765" s="1" t="str">
        <f>IFERROR(VLOOKUP(ТабПозиции[[#This Row],[orderNum]],ТабЗаказы[#Data],MATCH(E$7,ТабЗаказы[#Headers],0),0),"")</f>
        <v/>
      </c>
      <c r="F765" s="16" t="s">
        <v>1234</v>
      </c>
      <c r="G765" s="40" t="s">
        <v>545</v>
      </c>
      <c r="I765" s="18">
        <v>45526</v>
      </c>
      <c r="J765" s="10">
        <v>1</v>
      </c>
      <c r="K765" s="10">
        <v>1970</v>
      </c>
      <c r="L765">
        <v>1970</v>
      </c>
      <c r="M765" s="10">
        <v>2074</v>
      </c>
      <c r="N765">
        <f t="shared" si="13"/>
        <v>2074</v>
      </c>
      <c r="P7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Row],[orderNum]],ТабПозиции[orderSumm])&gt;1500),ABS(N765*VLOOKUP(ТабПозиции[[#This Row],[orderNum]],ТабЗаказы[#Data],MATCH("Percent",ТабЗаказы[#Headers],0),0))/100,200/COUNTIF(ТабПозиции[orderNum],ТабПозиции[[#This Row],[orderNum]])),0),"")</f>
        <v>311</v>
      </c>
      <c r="Q765">
        <f>IF(OR(ТабПозиции[[#This Row],[item]]="По штрихкоду",ТабПозиции[[#This Row],[item]]="Посылка"),ТабПозиции[[#This Row],[deliverySumm]]+ТабПозиции[[#This Row],[deliveryPost]],SUM(N765:P765))</f>
        <v>2385</v>
      </c>
      <c r="R765" s="41">
        <v>2385</v>
      </c>
      <c r="S765" s="46">
        <f>ТабПозиции[[#This Row],[totalSumm]]-ТабПозиции[[#This Row],[payment]]</f>
        <v>0</v>
      </c>
      <c r="T765" s="18" t="s">
        <v>970</v>
      </c>
      <c r="U765" s="40" t="s">
        <v>545</v>
      </c>
      <c r="V765" s="40" t="s">
        <v>545</v>
      </c>
      <c r="W765" s="40" t="s">
        <v>545</v>
      </c>
      <c r="X765" s="3"/>
      <c r="Y765"/>
    </row>
    <row r="766" spans="1:25" hidden="1" x14ac:dyDescent="0.25">
      <c r="A766" s="10">
        <v>217</v>
      </c>
      <c r="B766" s="1">
        <f>IFERROR(VLOOKUP(ТабПозиции[[#This Row],[orderNum]],ТабЗаказы[#Data],MATCH(B$7,ТабЗаказы[#Headers],0),0),"")</f>
        <v>45523</v>
      </c>
      <c r="C766" t="str">
        <f>MONTH(ТабПозиции[[#This Row],[date]])&amp;"/"&amp;YEAR(ТабПозиции[[#This Row],[date]])</f>
        <v>8/2024</v>
      </c>
      <c r="D766" s="1" t="str">
        <f>IFERROR(VLOOKUP(ТабПозиции[[#This Row],[orderNum]],ТабЗаказы[#Data],MATCH(D$7,ТабЗаказы[#Headers],0),0),"")</f>
        <v/>
      </c>
      <c r="E766" s="1" t="str">
        <f>IFERROR(VLOOKUP(ТабПозиции[[#This Row],[orderNum]],ТабЗаказы[#Data],MATCH(E$7,ТабЗаказы[#Headers],0),0),"")</f>
        <v/>
      </c>
      <c r="F766" s="16" t="s">
        <v>1235</v>
      </c>
      <c r="G766" s="40" t="s">
        <v>545</v>
      </c>
      <c r="I766" s="18">
        <v>45525</v>
      </c>
      <c r="J766" s="10">
        <v>1</v>
      </c>
      <c r="K766" s="10">
        <v>594</v>
      </c>
      <c r="L766">
        <v>594</v>
      </c>
      <c r="M766" s="10">
        <v>626</v>
      </c>
      <c r="N766">
        <f t="shared" si="13"/>
        <v>626</v>
      </c>
      <c r="P7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Row],[orderNum]],ТабПозиции[orderSumm])&gt;1500),ABS(N766*VLOOKUP(ТабПозиции[[#This Row],[orderNum]],ТабЗаказы[#Data],MATCH("Percent",ТабЗаказы[#Headers],0),0))/100,200/COUNTIF(ТабПозиции[orderNum],ТабПозиции[[#This Row],[orderNum]])),0),"")</f>
        <v>94</v>
      </c>
      <c r="Q766">
        <f>IF(OR(ТабПозиции[[#This Row],[item]]="По штрихкоду",ТабПозиции[[#This Row],[item]]="Посылка"),ТабПозиции[[#This Row],[deliverySumm]]+ТабПозиции[[#This Row],[deliveryPost]],SUM(N766:P766))</f>
        <v>720</v>
      </c>
      <c r="R766" s="41">
        <v>720</v>
      </c>
      <c r="S766" s="46">
        <f>ТабПозиции[[#This Row],[totalSumm]]-ТабПозиции[[#This Row],[payment]]</f>
        <v>0</v>
      </c>
      <c r="T766" s="18" t="s">
        <v>970</v>
      </c>
      <c r="U766" s="40" t="s">
        <v>545</v>
      </c>
      <c r="V766" s="40" t="s">
        <v>545</v>
      </c>
      <c r="W766" s="40" t="s">
        <v>545</v>
      </c>
      <c r="X766" s="3"/>
      <c r="Y766"/>
    </row>
    <row r="767" spans="1:25" hidden="1" x14ac:dyDescent="0.25">
      <c r="A767" s="10">
        <v>217</v>
      </c>
      <c r="B767" s="1">
        <f>IFERROR(VLOOKUP(ТабПозиции[[#This Row],[orderNum]],ТабЗаказы[#Data],MATCH(B$7,ТабЗаказы[#Headers],0),0),"")</f>
        <v>45523</v>
      </c>
      <c r="C767" t="str">
        <f>MONTH(ТабПозиции[[#This Row],[date]])&amp;"/"&amp;YEAR(ТабПозиции[[#This Row],[date]])</f>
        <v>8/2024</v>
      </c>
      <c r="D767" s="1" t="str">
        <f>IFERROR(VLOOKUP(ТабПозиции[[#This Row],[orderNum]],ТабЗаказы[#Data],MATCH(D$7,ТабЗаказы[#Headers],0),0),"")</f>
        <v/>
      </c>
      <c r="E767" s="1" t="str">
        <f>IFERROR(VLOOKUP(ТабПозиции[[#This Row],[orderNum]],ТабЗаказы[#Data],MATCH(E$7,ТабЗаказы[#Headers],0),0),"")</f>
        <v/>
      </c>
      <c r="F767" s="16" t="s">
        <v>579</v>
      </c>
      <c r="G767" s="40" t="s">
        <v>545</v>
      </c>
      <c r="I767" s="18">
        <v>45527</v>
      </c>
      <c r="J767" s="10">
        <v>1</v>
      </c>
      <c r="K767" s="10">
        <v>419</v>
      </c>
      <c r="L767">
        <v>419</v>
      </c>
      <c r="M767" s="10">
        <v>442</v>
      </c>
      <c r="N767">
        <f t="shared" si="13"/>
        <v>442</v>
      </c>
      <c r="P7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Row],[orderNum]],ТабПозиции[orderSumm])&gt;1500),ABS(N767*VLOOKUP(ТабПозиции[[#This Row],[orderNum]],ТабЗаказы[#Data],MATCH("Percent",ТабЗаказы[#Headers],0),0))/100,200/COUNTIF(ТабПозиции[orderNum],ТабПозиции[[#This Row],[orderNum]])),0),"")</f>
        <v>66</v>
      </c>
      <c r="Q767">
        <f>IF(OR(ТабПозиции[[#This Row],[item]]="По штрихкоду",ТабПозиции[[#This Row],[item]]="Посылка"),ТабПозиции[[#This Row],[deliverySumm]]+ТабПозиции[[#This Row],[deliveryPost]],SUM(N767:P767))</f>
        <v>508</v>
      </c>
      <c r="R767" s="41">
        <v>508</v>
      </c>
      <c r="S767" s="46">
        <f>ТабПозиции[[#This Row],[totalSumm]]-ТабПозиции[[#This Row],[payment]]</f>
        <v>0</v>
      </c>
      <c r="T767" s="18" t="s">
        <v>970</v>
      </c>
      <c r="U767" s="40" t="s">
        <v>545</v>
      </c>
      <c r="V767" s="40" t="s">
        <v>545</v>
      </c>
      <c r="W767" s="40" t="s">
        <v>545</v>
      </c>
      <c r="X767" s="3"/>
      <c r="Y767"/>
    </row>
    <row r="768" spans="1:25" hidden="1" x14ac:dyDescent="0.25">
      <c r="A768" s="10">
        <v>217</v>
      </c>
      <c r="B768" s="1">
        <f>IFERROR(VLOOKUP(ТабПозиции[[#This Row],[orderNum]],ТабЗаказы[#Data],MATCH(B$7,ТабЗаказы[#Headers],0),0),"")</f>
        <v>45523</v>
      </c>
      <c r="C768" t="str">
        <f>MONTH(ТабПозиции[[#This Row],[date]])&amp;"/"&amp;YEAR(ТабПозиции[[#This Row],[date]])</f>
        <v>8/2024</v>
      </c>
      <c r="D768" s="1" t="str">
        <f>IFERROR(VLOOKUP(ТабПозиции[[#This Row],[orderNum]],ТабЗаказы[#Data],MATCH(D$7,ТабЗаказы[#Headers],0),0),"")</f>
        <v/>
      </c>
      <c r="E768" s="1" t="str">
        <f>IFERROR(VLOOKUP(ТабПозиции[[#This Row],[orderNum]],ТабЗаказы[#Data],MATCH(E$7,ТабЗаказы[#Headers],0),0),"")</f>
        <v/>
      </c>
      <c r="F768" s="16" t="s">
        <v>1236</v>
      </c>
      <c r="G768" s="40" t="s">
        <v>545</v>
      </c>
      <c r="H768" s="25"/>
      <c r="I768" s="18">
        <v>45526</v>
      </c>
      <c r="J768" s="10">
        <v>1</v>
      </c>
      <c r="K768" s="10">
        <v>373</v>
      </c>
      <c r="L768">
        <v>373</v>
      </c>
      <c r="M768" s="10">
        <v>393</v>
      </c>
      <c r="N768">
        <f t="shared" si="13"/>
        <v>393</v>
      </c>
      <c r="P7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Row],[orderNum]],ТабПозиции[orderSumm])&gt;1500),ABS(N768*VLOOKUP(ТабПозиции[[#This Row],[orderNum]],ТабЗаказы[#Data],MATCH("Percent",ТабЗаказы[#Headers],0),0))/100,200/COUNTIF(ТабПозиции[orderNum],ТабПозиции[[#This Row],[orderNum]])),0),"")</f>
        <v>59</v>
      </c>
      <c r="Q768">
        <f>IF(OR(ТабПозиции[[#This Row],[item]]="По штрихкоду",ТабПозиции[[#This Row],[item]]="Посылка"),ТабПозиции[[#This Row],[deliverySumm]]+ТабПозиции[[#This Row],[deliveryPost]],SUM(N768:P768))</f>
        <v>452</v>
      </c>
      <c r="R768" s="41">
        <v>452</v>
      </c>
      <c r="S768" s="46">
        <f>ТабПозиции[[#This Row],[totalSumm]]-ТабПозиции[[#This Row],[payment]]</f>
        <v>0</v>
      </c>
      <c r="T768" s="18" t="s">
        <v>970</v>
      </c>
      <c r="U768" s="40" t="s">
        <v>545</v>
      </c>
      <c r="V768" s="40" t="s">
        <v>545</v>
      </c>
      <c r="W768" s="40" t="s">
        <v>545</v>
      </c>
      <c r="X768" s="3"/>
      <c r="Y768"/>
    </row>
    <row r="769" spans="1:25" hidden="1" x14ac:dyDescent="0.25">
      <c r="A769" s="10">
        <v>219</v>
      </c>
      <c r="B769" s="1">
        <f>IFERROR(VLOOKUP(ТабПозиции[[#This Row],[orderNum]],ТабЗаказы[#Data],MATCH(B$7,ТабЗаказы[#Headers],0),0),"")</f>
        <v>45524</v>
      </c>
      <c r="C769" t="str">
        <f>MONTH(ТабПозиции[[#This Row],[date]])&amp;"/"&amp;YEAR(ТабПозиции[[#This Row],[date]])</f>
        <v>8/2024</v>
      </c>
      <c r="D769" s="1" t="str">
        <f>IFERROR(VLOOKUP(ТабПозиции[[#This Row],[orderNum]],ТабЗаказы[#Data],MATCH(D$7,ТабЗаказы[#Headers],0),0),"")</f>
        <v/>
      </c>
      <c r="E769" s="1" t="str">
        <f>IFERROR(VLOOKUP(ТабПозиции[[#This Row],[orderNum]],ТабЗаказы[#Data],MATCH(E$7,ТабЗаказы[#Headers],0),0),"")</f>
        <v/>
      </c>
      <c r="F769" s="16" t="s">
        <v>1237</v>
      </c>
      <c r="G769" s="40" t="s">
        <v>545</v>
      </c>
      <c r="I769" s="18">
        <v>45526</v>
      </c>
      <c r="J769" s="10">
        <v>1</v>
      </c>
      <c r="K769" s="10">
        <v>2813</v>
      </c>
      <c r="L769">
        <v>2813</v>
      </c>
      <c r="M769" s="10">
        <v>2962</v>
      </c>
      <c r="N769">
        <f t="shared" si="13"/>
        <v>2962</v>
      </c>
      <c r="O769" s="10">
        <v>148</v>
      </c>
      <c r="P7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Row],[orderNum]],ТабПозиции[orderSumm])&gt;1500),ABS(N769*VLOOKUP(ТабПозиции[[#This Row],[orderNum]],ТабЗаказы[#Data],MATCH("Percent",ТабЗаказы[#Headers],0),0))/100,200/COUNTIF(ТабПозиции[orderNum],ТабПозиции[[#This Row],[orderNum]])),0),"")</f>
        <v>444</v>
      </c>
      <c r="Q769">
        <f>IF(OR(ТабПозиции[[#This Row],[item]]="По штрихкоду",ТабПозиции[[#This Row],[item]]="Посылка"),ТабПозиции[[#This Row],[deliverySumm]]+ТабПозиции[[#This Row],[deliveryPost]],SUM(N769:P769))</f>
        <v>3554</v>
      </c>
      <c r="R769" s="41">
        <v>3554</v>
      </c>
      <c r="S769" s="46">
        <f>ТабПозиции[[#This Row],[totalSumm]]-ТабПозиции[[#This Row],[payment]]</f>
        <v>0</v>
      </c>
      <c r="T769" s="18" t="s">
        <v>970</v>
      </c>
      <c r="U769" s="40" t="s">
        <v>545</v>
      </c>
      <c r="V769" s="40" t="s">
        <v>545</v>
      </c>
      <c r="W769" s="40" t="s">
        <v>545</v>
      </c>
      <c r="X769" s="3"/>
      <c r="Y769"/>
    </row>
    <row r="770" spans="1:25" hidden="1" x14ac:dyDescent="0.25">
      <c r="A770" s="10">
        <v>219</v>
      </c>
      <c r="B770" s="1">
        <f>IFERROR(VLOOKUP(ТабПозиции[[#This Row],[orderNum]],ТабЗаказы[#Data],MATCH(B$7,ТабЗаказы[#Headers],0),0),"")</f>
        <v>45524</v>
      </c>
      <c r="C770" t="str">
        <f>MONTH(ТабПозиции[[#This Row],[date]])&amp;"/"&amp;YEAR(ТабПозиции[[#This Row],[date]])</f>
        <v>8/2024</v>
      </c>
      <c r="D770" s="1" t="str">
        <f>IFERROR(VLOOKUP(ТабПозиции[[#This Row],[orderNum]],ТабЗаказы[#Data],MATCH(D$7,ТабЗаказы[#Headers],0),0),"")</f>
        <v/>
      </c>
      <c r="E770" s="1" t="str">
        <f>IFERROR(VLOOKUP(ТабПозиции[[#This Row],[orderNum]],ТабЗаказы[#Data],MATCH(E$7,ТабЗаказы[#Headers],0),0),"")</f>
        <v/>
      </c>
      <c r="F770" s="16" t="s">
        <v>1143</v>
      </c>
      <c r="G770" s="40" t="s">
        <v>545</v>
      </c>
      <c r="I770" s="18">
        <v>45526</v>
      </c>
      <c r="J770" s="10">
        <v>1</v>
      </c>
      <c r="K770" s="10">
        <v>1322</v>
      </c>
      <c r="L770">
        <v>1322</v>
      </c>
      <c r="M770" s="10">
        <v>1392</v>
      </c>
      <c r="N770">
        <f t="shared" si="13"/>
        <v>1392</v>
      </c>
      <c r="P7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Row],[orderNum]],ТабПозиции[orderSumm])&gt;1500),ABS(N770*VLOOKUP(ТабПозиции[[#This Row],[orderNum]],ТабЗаказы[#Data],MATCH("Percent",ТабЗаказы[#Headers],0),0))/100,200/COUNTIF(ТабПозиции[orderNum],ТабПозиции[[#This Row],[orderNum]])),0),"")</f>
        <v>209</v>
      </c>
      <c r="Q770">
        <f>IF(OR(ТабПозиции[[#This Row],[item]]="По штрихкоду",ТабПозиции[[#This Row],[item]]="Посылка"),ТабПозиции[[#This Row],[deliverySumm]]+ТабПозиции[[#This Row],[deliveryPost]],SUM(N770:P770))</f>
        <v>1601</v>
      </c>
      <c r="R770" s="41">
        <v>1601</v>
      </c>
      <c r="S770" s="46">
        <f>ТабПозиции[[#This Row],[totalSumm]]-ТабПозиции[[#This Row],[payment]]</f>
        <v>0</v>
      </c>
      <c r="T770" s="18" t="s">
        <v>970</v>
      </c>
      <c r="U770" s="40" t="s">
        <v>545</v>
      </c>
      <c r="V770" s="40" t="s">
        <v>545</v>
      </c>
      <c r="W770" s="40" t="s">
        <v>545</v>
      </c>
      <c r="X770" s="3"/>
      <c r="Y770"/>
    </row>
    <row r="771" spans="1:25" hidden="1" x14ac:dyDescent="0.25">
      <c r="A771" s="10">
        <v>219</v>
      </c>
      <c r="B771" s="1">
        <f>IFERROR(VLOOKUP(ТабПозиции[[#This Row],[orderNum]],ТабЗаказы[#Data],MATCH(B$7,ТабЗаказы[#Headers],0),0),"")</f>
        <v>45524</v>
      </c>
      <c r="C771" t="str">
        <f>MONTH(ТабПозиции[[#This Row],[date]])&amp;"/"&amp;YEAR(ТабПозиции[[#This Row],[date]])</f>
        <v>8/2024</v>
      </c>
      <c r="D771" s="1" t="str">
        <f>IFERROR(VLOOKUP(ТабПозиции[[#This Row],[orderNum]],ТабЗаказы[#Data],MATCH(D$7,ТабЗаказы[#Headers],0),0),"")</f>
        <v/>
      </c>
      <c r="E771" s="1" t="str">
        <f>IFERROR(VLOOKUP(ТабПозиции[[#This Row],[orderNum]],ТабЗаказы[#Data],MATCH(E$7,ТабЗаказы[#Headers],0),0),"")</f>
        <v/>
      </c>
      <c r="F771" s="16" t="s">
        <v>1238</v>
      </c>
      <c r="G771" s="40" t="s">
        <v>545</v>
      </c>
      <c r="I771" s="18">
        <v>45526</v>
      </c>
      <c r="J771" s="10">
        <v>1</v>
      </c>
      <c r="K771" s="10">
        <v>470</v>
      </c>
      <c r="L771">
        <v>470</v>
      </c>
      <c r="M771" s="10">
        <v>495</v>
      </c>
      <c r="N771">
        <f t="shared" si="13"/>
        <v>495</v>
      </c>
      <c r="P7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Row],[orderNum]],ТабПозиции[orderSumm])&gt;1500),ABS(N771*VLOOKUP(ТабПозиции[[#This Row],[orderNum]],ТабЗаказы[#Data],MATCH("Percent",ТабЗаказы[#Headers],0),0))/100,200/COUNTIF(ТабПозиции[orderNum],ТабПозиции[[#This Row],[orderNum]])),0),"")</f>
        <v>74</v>
      </c>
      <c r="Q771">
        <f>IF(OR(ТабПозиции[[#This Row],[item]]="По штрихкоду",ТабПозиции[[#This Row],[item]]="Посылка"),ТабПозиции[[#This Row],[deliverySumm]]+ТабПозиции[[#This Row],[deliveryPost]],SUM(N771:P771))</f>
        <v>569</v>
      </c>
      <c r="R771" s="41">
        <v>569</v>
      </c>
      <c r="S771" s="46">
        <f>ТабПозиции[[#This Row],[totalSumm]]-ТабПозиции[[#This Row],[payment]]</f>
        <v>0</v>
      </c>
      <c r="T771" s="18" t="s">
        <v>970</v>
      </c>
      <c r="U771" s="40" t="s">
        <v>545</v>
      </c>
      <c r="V771" s="40" t="s">
        <v>545</v>
      </c>
      <c r="W771" s="40" t="s">
        <v>545</v>
      </c>
      <c r="X771" s="3"/>
      <c r="Y771"/>
    </row>
    <row r="772" spans="1:25" hidden="1" x14ac:dyDescent="0.25">
      <c r="A772" s="10">
        <v>219</v>
      </c>
      <c r="B772" s="1">
        <f>IFERROR(VLOOKUP(ТабПозиции[[#This Row],[orderNum]],ТабЗаказы[#Data],MATCH(B$7,ТабЗаказы[#Headers],0),0),"")</f>
        <v>45524</v>
      </c>
      <c r="C772" t="str">
        <f>MONTH(ТабПозиции[[#This Row],[date]])&amp;"/"&amp;YEAR(ТабПозиции[[#This Row],[date]])</f>
        <v>8/2024</v>
      </c>
      <c r="D772" s="1" t="str">
        <f>IFERROR(VLOOKUP(ТабПозиции[[#This Row],[orderNum]],ТабЗаказы[#Data],MATCH(D$7,ТабЗаказы[#Headers],0),0),"")</f>
        <v/>
      </c>
      <c r="E772" s="1" t="str">
        <f>IFERROR(VLOOKUP(ТабПозиции[[#This Row],[orderNum]],ТабЗаказы[#Data],MATCH(E$7,ТабЗаказы[#Headers],0),0),"")</f>
        <v/>
      </c>
      <c r="F772" s="16" t="s">
        <v>1239</v>
      </c>
      <c r="G772" s="40" t="s">
        <v>545</v>
      </c>
      <c r="I772" s="18">
        <v>45526</v>
      </c>
      <c r="J772" s="10">
        <v>1</v>
      </c>
      <c r="K772" s="10">
        <v>297</v>
      </c>
      <c r="L772">
        <v>297</v>
      </c>
      <c r="M772" s="10">
        <v>313</v>
      </c>
      <c r="N772">
        <f t="shared" si="13"/>
        <v>313</v>
      </c>
      <c r="P7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Row],[orderNum]],ТабПозиции[orderSumm])&gt;1500),ABS(N772*VLOOKUP(ТабПозиции[[#This Row],[orderNum]],ТабЗаказы[#Data],MATCH("Percent",ТабЗаказы[#Headers],0),0))/100,200/COUNTIF(ТабПозиции[orderNum],ТабПозиции[[#This Row],[orderNum]])),0),"")</f>
        <v>47</v>
      </c>
      <c r="Q772">
        <f>IF(OR(ТабПозиции[[#This Row],[item]]="По штрихкоду",ТабПозиции[[#This Row],[item]]="Посылка"),ТабПозиции[[#This Row],[deliverySumm]]+ТабПозиции[[#This Row],[deliveryPost]],SUM(N772:P772))</f>
        <v>360</v>
      </c>
      <c r="R772" s="41">
        <v>360</v>
      </c>
      <c r="S772" s="46">
        <f>ТабПозиции[[#This Row],[totalSumm]]-ТабПозиции[[#This Row],[payment]]</f>
        <v>0</v>
      </c>
      <c r="T772" s="18" t="s">
        <v>970</v>
      </c>
      <c r="U772" s="40" t="s">
        <v>545</v>
      </c>
      <c r="V772" s="40" t="s">
        <v>545</v>
      </c>
      <c r="W772" s="40" t="s">
        <v>545</v>
      </c>
      <c r="X772" s="3"/>
      <c r="Y772"/>
    </row>
    <row r="773" spans="1:25" hidden="1" x14ac:dyDescent="0.25">
      <c r="A773" s="10">
        <v>191</v>
      </c>
      <c r="B773" s="1">
        <f>IFERROR(VLOOKUP(ТабПозиции[[#This Row],[orderNum]],ТабЗаказы[#Data],MATCH(B$7,ТабЗаказы[#Headers],0),0),"")</f>
        <v>45523</v>
      </c>
      <c r="C773" t="str">
        <f>MONTH(ТабПозиции[[#This Row],[date]])&amp;"/"&amp;YEAR(ТабПозиции[[#This Row],[date]])</f>
        <v>8/2024</v>
      </c>
      <c r="D773" s="1" t="str">
        <f>IFERROR(VLOOKUP(ТабПозиции[[#This Row],[orderNum]],ТабЗаказы[#Data],MATCH(D$7,ТабЗаказы[#Headers],0),0),"")</f>
        <v/>
      </c>
      <c r="E773" s="1" t="str">
        <f>IFERROR(VLOOKUP(ТабПозиции[[#This Row],[orderNum]],ТабЗаказы[#Data],MATCH(E$7,ТабЗаказы[#Headers],0),0),"")</f>
        <v/>
      </c>
      <c r="F773" s="10" t="s">
        <v>820</v>
      </c>
      <c r="G773" s="40" t="s">
        <v>545</v>
      </c>
      <c r="H773" s="25" t="s">
        <v>1240</v>
      </c>
      <c r="I773" s="18">
        <v>45547</v>
      </c>
      <c r="J773" s="10">
        <v>1</v>
      </c>
      <c r="K773" s="10">
        <v>11990</v>
      </c>
      <c r="L773">
        <v>11990</v>
      </c>
      <c r="M773" s="10">
        <v>11990</v>
      </c>
      <c r="N773">
        <f t="shared" si="13"/>
        <v>11990</v>
      </c>
      <c r="P7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Row],[orderNum]],ТабПозиции[orderSumm])&gt;1500),ABS(N773*VLOOKUP(ТабПозиции[[#This Row],[orderNum]],ТабЗаказы[#Data],MATCH("Percent",ТабЗаказы[#Headers],0),0))/100,200/COUNTIF(ТабПозиции[orderNum],ТабПозиции[[#This Row],[orderNum]])),0),"")</f>
        <v>1199</v>
      </c>
      <c r="Q773">
        <f>IF(OR(ТабПозиции[[#This Row],[item]]="По штрихкоду",ТабПозиции[[#This Row],[item]]="Посылка"),ТабПозиции[[#This Row],[deliverySumm]]+ТабПозиции[[#This Row],[deliveryPost]],SUM(N773:P773))</f>
        <v>1199</v>
      </c>
      <c r="R773" s="41">
        <v>1199</v>
      </c>
      <c r="S773" s="46">
        <f>ТабПозиции[[#This Row],[totalSumm]]-ТабПозиции[[#This Row],[payment]]</f>
        <v>0</v>
      </c>
      <c r="T773" s="18" t="s">
        <v>1021</v>
      </c>
      <c r="U773" s="40" t="s">
        <v>545</v>
      </c>
      <c r="V773" s="40" t="s">
        <v>545</v>
      </c>
      <c r="W773" s="40" t="s">
        <v>545</v>
      </c>
      <c r="X773" s="3"/>
      <c r="Y773"/>
    </row>
    <row r="774" spans="1:25" hidden="1" x14ac:dyDescent="0.25">
      <c r="A774" s="10">
        <v>191</v>
      </c>
      <c r="B774" s="1">
        <f>IFERROR(VLOOKUP(ТабПозиции[[#This Row],[orderNum]],ТабЗаказы[#Data],MATCH(B$7,ТабЗаказы[#Headers],0),0),"")</f>
        <v>45523</v>
      </c>
      <c r="C774" t="str">
        <f>MONTH(ТабПозиции[[#This Row],[date]])&amp;"/"&amp;YEAR(ТабПозиции[[#This Row],[date]])</f>
        <v>8/2024</v>
      </c>
      <c r="D774" s="1" t="str">
        <f>IFERROR(VLOOKUP(ТабПозиции[[#This Row],[orderNum]],ТабЗаказы[#Data],MATCH(D$7,ТабЗаказы[#Headers],0),0),"")</f>
        <v/>
      </c>
      <c r="E774" s="1" t="str">
        <f>IFERROR(VLOOKUP(ТабПозиции[[#This Row],[orderNum]],ТабЗаказы[#Data],MATCH(E$7,ТабЗаказы[#Headers],0),0),"")</f>
        <v/>
      </c>
      <c r="F774" s="10" t="s">
        <v>820</v>
      </c>
      <c r="G774" s="40" t="s">
        <v>545</v>
      </c>
      <c r="H774" s="12" t="s">
        <v>1241</v>
      </c>
      <c r="I774" s="18">
        <v>45530</v>
      </c>
      <c r="J774" s="10">
        <v>1</v>
      </c>
      <c r="K774" s="10">
        <v>1999</v>
      </c>
      <c r="L774">
        <v>1999</v>
      </c>
      <c r="M774" s="10">
        <v>1999</v>
      </c>
      <c r="N774">
        <f t="shared" si="13"/>
        <v>1999</v>
      </c>
      <c r="P7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Row],[orderNum]],ТабПозиции[orderSumm])&gt;1500),ABS(N774*VLOOKUP(ТабПозиции[[#This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774">
        <v>200</v>
      </c>
      <c r="R774" s="41">
        <v>200</v>
      </c>
      <c r="S774" s="46">
        <f>ТабПозиции[[#This Row],[totalSumm]]-ТабПозиции[[#This Row],[payment]]</f>
        <v>0</v>
      </c>
      <c r="T774" s="18" t="s">
        <v>1021</v>
      </c>
      <c r="U774" s="40" t="s">
        <v>545</v>
      </c>
      <c r="V774" s="40" t="s">
        <v>545</v>
      </c>
      <c r="W774" s="40" t="s">
        <v>545</v>
      </c>
      <c r="X774" s="3"/>
      <c r="Y774"/>
    </row>
    <row r="775" spans="1:25" hidden="1" x14ac:dyDescent="0.25">
      <c r="A775" s="10">
        <v>191</v>
      </c>
      <c r="B775" s="1">
        <f>IFERROR(VLOOKUP(ТабПозиции[[#This Row],[orderNum]],ТабЗаказы[#Data],MATCH(B$7,ТабЗаказы[#Headers],0),0),"")</f>
        <v>45523</v>
      </c>
      <c r="C775" t="str">
        <f>MONTH(ТабПозиции[[#This Row],[date]])&amp;"/"&amp;YEAR(ТабПозиции[[#This Row],[date]])</f>
        <v>8/2024</v>
      </c>
      <c r="D775" s="1" t="str">
        <f>IFERROR(VLOOKUP(ТабПозиции[[#This Row],[orderNum]],ТабЗаказы[#Data],MATCH(D$7,ТабЗаказы[#Headers],0),0),"")</f>
        <v/>
      </c>
      <c r="E775" s="1" t="str">
        <f>IFERROR(VLOOKUP(ТабПозиции[[#This Row],[orderNum]],ТабЗаказы[#Data],MATCH(E$7,ТабЗаказы[#Headers],0),0),"")</f>
        <v/>
      </c>
      <c r="F775" s="10" t="s">
        <v>820</v>
      </c>
      <c r="G775" s="40" t="s">
        <v>545</v>
      </c>
      <c r="H775" s="25" t="s">
        <v>1242</v>
      </c>
      <c r="I775" s="18">
        <v>45547</v>
      </c>
      <c r="J775" s="10">
        <v>1</v>
      </c>
      <c r="K775" s="26">
        <v>31000</v>
      </c>
      <c r="L775" s="8">
        <v>31000</v>
      </c>
      <c r="M775" s="26">
        <v>31000</v>
      </c>
      <c r="N775">
        <f t="shared" si="13"/>
        <v>31000</v>
      </c>
      <c r="P7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Row],[orderNum]],ТабПозиции[orderSumm])&gt;1500),ABS(N775*VLOOKUP(ТабПозиции[[#This Row],[orderNum]],ТабЗаказы[#Data],MATCH("Percent",ТабЗаказы[#Headers],0),0))/100,200/COUNTIF(ТабПозиции[orderNum],ТабПозиции[[#This Row],[orderNum]])),0),"")</f>
        <v>3100</v>
      </c>
      <c r="Q775">
        <f>IF(OR(ТабПозиции[[#This Row],[item]]="По штрихкоду",ТабПозиции[[#This Row],[item]]="Посылка"),ТабПозиции[[#This Row],[deliverySumm]]+ТабПозиции[[#This Row],[deliveryPost]],SUM(N775:P775))</f>
        <v>3100</v>
      </c>
      <c r="R775" s="41">
        <v>3100</v>
      </c>
      <c r="S775" s="46">
        <f>ТабПозиции[[#This Row],[totalSumm]]-ТабПозиции[[#This Row],[payment]]</f>
        <v>0</v>
      </c>
      <c r="T775" s="18" t="s">
        <v>1021</v>
      </c>
      <c r="U775" s="40" t="s">
        <v>545</v>
      </c>
      <c r="V775" s="40" t="s">
        <v>545</v>
      </c>
      <c r="W775" s="40" t="s">
        <v>545</v>
      </c>
      <c r="X775" s="3"/>
      <c r="Y775"/>
    </row>
    <row r="776" spans="1:25" hidden="1" x14ac:dyDescent="0.25">
      <c r="A776" s="10">
        <v>227</v>
      </c>
      <c r="B776" s="1">
        <f>IFERROR(VLOOKUP(ТабПозиции[[#This Row],[orderNum]],ТабЗаказы[#Data],MATCH(B$7,ТабЗаказы[#Headers],0),0),"")</f>
        <v>45531</v>
      </c>
      <c r="C776" t="str">
        <f>MONTH(ТабПозиции[[#This Row],[date]])&amp;"/"&amp;YEAR(ТабПозиции[[#This Row],[date]])</f>
        <v>8/2024</v>
      </c>
      <c r="D776" s="1" t="str">
        <f>IFERROR(VLOOKUP(ТабПозиции[[#This Row],[orderNum]],ТабЗаказы[#Data],MATCH(D$7,ТабЗаказы[#Headers],0),0),"")</f>
        <v/>
      </c>
      <c r="E776" s="1" t="str">
        <f>IFERROR(VLOOKUP(ТабПозиции[[#This Row],[orderNum]],ТабЗаказы[#Data],MATCH(E$7,ТабЗаказы[#Headers],0),0),"")</f>
        <v/>
      </c>
      <c r="F776" s="10" t="s">
        <v>820</v>
      </c>
      <c r="G776" s="40" t="s">
        <v>545</v>
      </c>
      <c r="H776" s="12" t="s">
        <v>1243</v>
      </c>
      <c r="I776" s="18">
        <v>45525</v>
      </c>
      <c r="J776" s="10">
        <v>1</v>
      </c>
      <c r="K776" s="10">
        <v>6900</v>
      </c>
      <c r="L776">
        <v>6900</v>
      </c>
      <c r="M776" s="10">
        <v>6900</v>
      </c>
      <c r="N776">
        <f t="shared" si="13"/>
        <v>6900</v>
      </c>
      <c r="P7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Row],[orderNum]],ТабПозиции[orderSumm])&gt;1500),ABS(N776*VLOOKUP(ТабПозиции[[#This Row],[orderNum]],ТабЗаказы[#Data],MATCH("Percent",ТабЗаказы[#Headers],0),0))/100,200/COUNTIF(ТабПозиции[orderNum],ТабПозиции[[#This Row],[orderNum]])),0),"")</f>
        <v>690</v>
      </c>
      <c r="Q776">
        <f>IF(OR(ТабПозиции[[#This Row],[item]]="По штрихкоду",ТабПозиции[[#This Row],[item]]="Посылка"),ТабПозиции[[#This Row],[deliverySumm]]+ТабПозиции[[#This Row],[deliveryPost]],SUM(N776:P776))</f>
        <v>690</v>
      </c>
      <c r="R776" s="41">
        <v>690</v>
      </c>
      <c r="S776" s="46">
        <f>ТабПозиции[[#This Row],[totalSumm]]-ТабПозиции[[#This Row],[payment]]</f>
        <v>0</v>
      </c>
      <c r="T776" s="18" t="s">
        <v>1021</v>
      </c>
      <c r="U776" s="40" t="s">
        <v>545</v>
      </c>
      <c r="V776" s="40" t="s">
        <v>545</v>
      </c>
      <c r="W776" s="40" t="s">
        <v>545</v>
      </c>
      <c r="X776" s="3"/>
      <c r="Y776"/>
    </row>
    <row r="777" spans="1:25" hidden="1" x14ac:dyDescent="0.25">
      <c r="A777" s="10">
        <v>220</v>
      </c>
      <c r="B777" s="1">
        <f>IFERROR(VLOOKUP(ТабПозиции[[#This Row],[orderNum]],ТабЗаказы[#Data],MATCH(B$7,ТабЗаказы[#Headers],0),0),"")</f>
        <v>45527</v>
      </c>
      <c r="C777" t="str">
        <f>MONTH(ТабПозиции[[#This Row],[date]])&amp;"/"&amp;YEAR(ТабПозиции[[#This Row],[date]])</f>
        <v>8/2024</v>
      </c>
      <c r="D777" s="1" t="str">
        <f>IFERROR(VLOOKUP(ТабПозиции[[#This Row],[orderNum]],ТабЗаказы[#Data],MATCH(D$7,ТабЗаказы[#Headers],0),0),"")</f>
        <v/>
      </c>
      <c r="E777" s="1" t="str">
        <f>IFERROR(VLOOKUP(ТабПозиции[[#This Row],[orderNum]],ТабЗаказы[#Data],MATCH(E$7,ТабЗаказы[#Headers],0),0),"")</f>
        <v/>
      </c>
      <c r="F777" s="10" t="s">
        <v>32</v>
      </c>
      <c r="G777" s="40" t="s">
        <v>545</v>
      </c>
      <c r="I777" s="18">
        <v>45527</v>
      </c>
      <c r="J777" s="10">
        <v>1</v>
      </c>
      <c r="K777" s="10">
        <v>13818</v>
      </c>
      <c r="L777">
        <v>13818</v>
      </c>
      <c r="M777" s="10">
        <v>13818</v>
      </c>
      <c r="N777">
        <f t="shared" si="13"/>
        <v>13818</v>
      </c>
      <c r="O777" s="10">
        <v>200</v>
      </c>
      <c r="P7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Row],[orderNum]],ТабПозиции[orderSumm])&gt;1500),ABS(N777*VLOOKUP(ТабПозиции[[#This Row],[orderNum]],ТабЗаказы[#Data],MATCH("Percent",ТабЗаказы[#Headers],0),0))/100,200/COUNTIF(ТабПозиции[orderNum],ТабПозиции[[#This Row],[orderNum]])),0),"")</f>
        <v>2073</v>
      </c>
      <c r="Q777">
        <f>IF(OR(ТабПозиции[[#This Row],[item]]="По штрихкоду",ТабПозиции[[#This Row],[item]]="Посылка"),ТабПозиции[[#This Row],[deliverySumm]]+ТабПозиции[[#This Row],[deliveryPost]],SUM(N777:P777))</f>
        <v>2273</v>
      </c>
      <c r="R777" s="41">
        <v>2273</v>
      </c>
      <c r="S777" s="46">
        <f>ТабПозиции[[#This Row],[totalSumm]]-ТабПозиции[[#This Row],[payment]]</f>
        <v>0</v>
      </c>
      <c r="T777" s="18" t="s">
        <v>548</v>
      </c>
      <c r="U777" s="40" t="s">
        <v>545</v>
      </c>
      <c r="V777" s="40" t="s">
        <v>545</v>
      </c>
      <c r="W777" s="40" t="s">
        <v>545</v>
      </c>
      <c r="X777" s="3"/>
      <c r="Y777"/>
    </row>
    <row r="778" spans="1:25" hidden="1" x14ac:dyDescent="0.25">
      <c r="A778" s="10">
        <v>221</v>
      </c>
      <c r="B778" s="1">
        <f>IFERROR(VLOOKUP(ТабПозиции[[#This Row],[orderNum]],ТабЗаказы[#Data],MATCH(B$7,ТабЗаказы[#Headers],0),0),"")</f>
        <v>45527</v>
      </c>
      <c r="C778" t="str">
        <f>MONTH(ТабПозиции[[#This Row],[date]])&amp;"/"&amp;YEAR(ТабПозиции[[#This Row],[date]])</f>
        <v>8/2024</v>
      </c>
      <c r="D778" s="1" t="str">
        <f>IFERROR(VLOOKUP(ТабПозиции[[#This Row],[orderNum]],ТабЗаказы[#Data],MATCH(D$7,ТабЗаказы[#Headers],0),0),"")</f>
        <v/>
      </c>
      <c r="E778" s="1" t="str">
        <f>IFERROR(VLOOKUP(ТабПозиции[[#This Row],[orderNum]],ТабЗаказы[#Data],MATCH(E$7,ТабЗаказы[#Headers],0),0),"")</f>
        <v/>
      </c>
      <c r="F778" s="10" t="s">
        <v>32</v>
      </c>
      <c r="G778" s="40" t="s">
        <v>545</v>
      </c>
      <c r="I778" s="18">
        <v>45527</v>
      </c>
      <c r="J778" s="10">
        <v>1</v>
      </c>
      <c r="K778" s="10">
        <v>5561</v>
      </c>
      <c r="L778">
        <v>5561</v>
      </c>
      <c r="M778" s="10">
        <v>5561</v>
      </c>
      <c r="N778">
        <f t="shared" si="13"/>
        <v>5561</v>
      </c>
      <c r="P7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Row],[orderNum]],ТабПозиции[orderSumm])&gt;1500),ABS(N778*VLOOKUP(ТабПозиции[[#This Row],[orderNum]],ТабЗаказы[#Data],MATCH("Percent",ТабЗаказы[#Headers],0),0))/100,200/COUNTIF(ТабПозиции[orderNum],ТабПозиции[[#This Row],[orderNum]])),0),"")</f>
        <v>834</v>
      </c>
      <c r="Q778">
        <f>IF(OR(ТабПозиции[[#This Row],[item]]="По штрихкоду",ТабПозиции[[#This Row],[item]]="Посылка"),ТабПозиции[[#This Row],[deliverySumm]]+ТабПозиции[[#This Row],[deliveryPost]],SUM(N778:P778))</f>
        <v>834</v>
      </c>
      <c r="R778" s="41">
        <v>834</v>
      </c>
      <c r="S778" s="46">
        <f>ТабПозиции[[#This Row],[totalSumm]]-ТабПозиции[[#This Row],[payment]]</f>
        <v>0</v>
      </c>
      <c r="T778" s="18" t="s">
        <v>960</v>
      </c>
      <c r="U778" s="40" t="s">
        <v>545</v>
      </c>
      <c r="V778" s="40" t="s">
        <v>545</v>
      </c>
      <c r="W778" s="40" t="s">
        <v>545</v>
      </c>
      <c r="X778" s="3"/>
      <c r="Y778"/>
    </row>
    <row r="779" spans="1:25" hidden="1" x14ac:dyDescent="0.25">
      <c r="A779" s="10">
        <v>222</v>
      </c>
      <c r="B779" s="1">
        <f>IFERROR(VLOOKUP(ТабПозиции[[#This Row],[orderNum]],ТабЗаказы[#Data],MATCH(B$7,ТабЗаказы[#Headers],0),0),"")</f>
        <v>45527</v>
      </c>
      <c r="C779" t="str">
        <f>MONTH(ТабПозиции[[#This Row],[date]])&amp;"/"&amp;YEAR(ТабПозиции[[#This Row],[date]])</f>
        <v>8/2024</v>
      </c>
      <c r="D779" s="1" t="str">
        <f>IFERROR(VLOOKUP(ТабПозиции[[#This Row],[orderNum]],ТабЗаказы[#Data],MATCH(D$7,ТабЗаказы[#Headers],0),0),"")</f>
        <v/>
      </c>
      <c r="E779" s="1" t="str">
        <f>IFERROR(VLOOKUP(ТабПозиции[[#This Row],[orderNum]],ТабЗаказы[#Data],MATCH(E$7,ТабЗаказы[#Headers],0),0),"")</f>
        <v/>
      </c>
      <c r="F779" s="16" t="s">
        <v>1244</v>
      </c>
      <c r="G779" s="40" t="s">
        <v>545</v>
      </c>
      <c r="I779" s="18">
        <v>45533</v>
      </c>
      <c r="J779" s="10">
        <v>1</v>
      </c>
      <c r="K779" s="10">
        <v>527</v>
      </c>
      <c r="L779">
        <v>527</v>
      </c>
      <c r="M779" s="10">
        <v>560</v>
      </c>
      <c r="N779">
        <f t="shared" si="13"/>
        <v>560</v>
      </c>
      <c r="P7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Row],[orderNum]],ТабПозиции[orderSumm])&gt;1500),ABS(N779*VLOOKUP(ТабПозиции[[#This Row],[orderNum]],ТабЗаказы[#Data],MATCH("Percent",ТабЗаказы[#Headers],0),0))/100,200/COUNTIF(ТабПозиции[orderNum],ТабПозиции[[#This Row],[orderNum]])),0),"")</f>
        <v>84</v>
      </c>
      <c r="Q779">
        <f>IF(OR(ТабПозиции[[#This Row],[item]]="По штрихкоду",ТабПозиции[[#This Row],[item]]="Посылка"),ТабПозиции[[#This Row],[deliverySumm]]+ТабПозиции[[#This Row],[deliveryPost]],SUM(N779:P779))</f>
        <v>644</v>
      </c>
      <c r="R779" s="41">
        <v>644</v>
      </c>
      <c r="S779" s="46">
        <f>ТабПозиции[[#This Row],[totalSumm]]-ТабПозиции[[#This Row],[payment]]</f>
        <v>0</v>
      </c>
      <c r="T779" s="18" t="s">
        <v>960</v>
      </c>
      <c r="U779" s="40" t="s">
        <v>545</v>
      </c>
      <c r="V779" s="40" t="s">
        <v>545</v>
      </c>
      <c r="W779" s="40" t="s">
        <v>545</v>
      </c>
      <c r="X779" s="3"/>
      <c r="Y779"/>
    </row>
    <row r="780" spans="1:25" hidden="1" x14ac:dyDescent="0.25">
      <c r="A780" s="10">
        <v>223</v>
      </c>
      <c r="B780" s="1">
        <f>IFERROR(VLOOKUP(ТабПозиции[[#This Row],[orderNum]],ТабЗаказы[#Data],MATCH(B$7,ТабЗаказы[#Headers],0),0),"")</f>
        <v>45528</v>
      </c>
      <c r="C780" t="str">
        <f>MONTH(ТабПозиции[[#This Row],[date]])&amp;"/"&amp;YEAR(ТабПозиции[[#This Row],[date]])</f>
        <v>8/2024</v>
      </c>
      <c r="D780" s="1" t="str">
        <f>IFERROR(VLOOKUP(ТабПозиции[[#This Row],[orderNum]],ТабЗаказы[#Data],MATCH(D$7,ТабЗаказы[#Headers],0),0),"")</f>
        <v/>
      </c>
      <c r="E780" s="1" t="str">
        <f>IFERROR(VLOOKUP(ТабПозиции[[#This Row],[orderNum]],ТабЗаказы[#Data],MATCH(E$7,ТабЗаказы[#Headers],0),0),"")</f>
        <v/>
      </c>
      <c r="F780" s="16" t="s">
        <v>987</v>
      </c>
      <c r="G780" s="40" t="s">
        <v>545</v>
      </c>
      <c r="I780" s="18">
        <v>45531</v>
      </c>
      <c r="J780" s="10">
        <v>1</v>
      </c>
      <c r="K780" s="10">
        <v>155</v>
      </c>
      <c r="L780">
        <v>155</v>
      </c>
      <c r="M780" s="10">
        <v>158</v>
      </c>
      <c r="N780">
        <f t="shared" si="13"/>
        <v>158</v>
      </c>
      <c r="P7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Row],[orderNum]],ТабПозиции[orderSumm])&gt;1500),ABS(N780*VLOOKUP(ТабПозиции[[#This Row],[orderNum]],ТабЗаказы[#Data],MATCH("Percent",ТабЗаказы[#Headers],0),0))/100,200/COUNTIF(ТабПозиции[orderNum],ТабПозиции[[#This Row],[orderNum]])),0),"")</f>
        <v>67</v>
      </c>
      <c r="Q780">
        <f>IF(OR(ТабПозиции[[#This Row],[item]]="По штрихкоду",ТабПозиции[[#This Row],[item]]="Посылка"),ТабПозиции[[#This Row],[deliverySumm]]+ТабПозиции[[#This Row],[deliveryPost]],SUM(N780:P780))</f>
        <v>225</v>
      </c>
      <c r="R780" s="41">
        <v>225</v>
      </c>
      <c r="S780" s="46">
        <f>ТабПозиции[[#This Row],[totalSumm]]-ТабПозиции[[#This Row],[payment]]</f>
        <v>0</v>
      </c>
      <c r="T780" s="18" t="s">
        <v>960</v>
      </c>
      <c r="U780" s="40" t="s">
        <v>545</v>
      </c>
      <c r="V780" s="40" t="s">
        <v>545</v>
      </c>
      <c r="W780" s="40" t="s">
        <v>545</v>
      </c>
      <c r="X780" s="3"/>
      <c r="Y780"/>
    </row>
    <row r="781" spans="1:25" hidden="1" x14ac:dyDescent="0.25">
      <c r="A781" s="10">
        <v>223</v>
      </c>
      <c r="B781" s="1">
        <f>IFERROR(VLOOKUP(ТабПозиции[[#This Row],[orderNum]],ТабЗаказы[#Data],MATCH(B$7,ТабЗаказы[#Headers],0),0),"")</f>
        <v>45528</v>
      </c>
      <c r="C781" t="str">
        <f>MONTH(ТабПозиции[[#This Row],[date]])&amp;"/"&amp;YEAR(ТабПозиции[[#This Row],[date]])</f>
        <v>8/2024</v>
      </c>
      <c r="D781" s="1" t="str">
        <f>IFERROR(VLOOKUP(ТабПозиции[[#This Row],[orderNum]],ТабЗаказы[#Data],MATCH(D$7,ТабЗаказы[#Headers],0),0),"")</f>
        <v/>
      </c>
      <c r="E781" s="1" t="str">
        <f>IFERROR(VLOOKUP(ТабПозиции[[#This Row],[orderNum]],ТабЗаказы[#Data],MATCH(E$7,ТабЗаказы[#Headers],0),0),"")</f>
        <v/>
      </c>
      <c r="F781" s="16" t="s">
        <v>965</v>
      </c>
      <c r="G781" s="40" t="s">
        <v>545</v>
      </c>
      <c r="I781" s="18">
        <v>45529</v>
      </c>
      <c r="J781" s="10">
        <v>1</v>
      </c>
      <c r="K781" s="10">
        <v>123</v>
      </c>
      <c r="L781">
        <v>123</v>
      </c>
      <c r="M781" s="10">
        <v>126</v>
      </c>
      <c r="N781">
        <f t="shared" si="13"/>
        <v>126</v>
      </c>
      <c r="P7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Row],[orderNum]],ТабПозиции[orderSumm])&gt;1500),ABS(N781*VLOOKUP(ТабПозиции[[#This Row],[orderNum]],ТабЗаказы[#Data],MATCH("Percent",ТабЗаказы[#Headers],0),0))/100,200/COUNTIF(ТабПозиции[orderNum],ТабПозиции[[#This Row],[orderNum]])),0),"")</f>
        <v>67</v>
      </c>
      <c r="Q781">
        <f>IF(OR(ТабПозиции[[#This Row],[item]]="По штрихкоду",ТабПозиции[[#This Row],[item]]="Посылка"),ТабПозиции[[#This Row],[deliverySumm]]+ТабПозиции[[#This Row],[deliveryPost]],SUM(N781:P781))</f>
        <v>193</v>
      </c>
      <c r="R781" s="41">
        <v>193</v>
      </c>
      <c r="S781" s="46">
        <f>ТабПозиции[[#This Row],[totalSumm]]-ТабПозиции[[#This Row],[payment]]</f>
        <v>0</v>
      </c>
      <c r="T781" s="18" t="s">
        <v>960</v>
      </c>
      <c r="U781" s="40" t="s">
        <v>545</v>
      </c>
      <c r="V781" s="40" t="s">
        <v>545</v>
      </c>
      <c r="W781" s="40" t="s">
        <v>545</v>
      </c>
      <c r="X781" s="3"/>
      <c r="Y781"/>
    </row>
    <row r="782" spans="1:25" hidden="1" x14ac:dyDescent="0.25">
      <c r="A782" s="10">
        <v>223</v>
      </c>
      <c r="B782" s="1">
        <f>IFERROR(VLOOKUP(ТабПозиции[[#This Row],[orderNum]],ТабЗаказы[#Data],MATCH(B$7,ТабЗаказы[#Headers],0),0),"")</f>
        <v>45528</v>
      </c>
      <c r="C782" t="str">
        <f>MONTH(ТабПозиции[[#This Row],[date]])&amp;"/"&amp;YEAR(ТабПозиции[[#This Row],[date]])</f>
        <v>8/2024</v>
      </c>
      <c r="D782" s="1" t="str">
        <f>IFERROR(VLOOKUP(ТабПозиции[[#This Row],[orderNum]],ТабЗаказы[#Data],MATCH(D$7,ТабЗаказы[#Headers],0),0),"")</f>
        <v/>
      </c>
      <c r="E782" s="1" t="str">
        <f>IFERROR(VLOOKUP(ТабПозиции[[#This Row],[orderNum]],ТабЗаказы[#Data],MATCH(E$7,ТабЗаказы[#Headers],0),0),"")</f>
        <v/>
      </c>
      <c r="F782" s="16" t="s">
        <v>579</v>
      </c>
      <c r="G782" s="40" t="s">
        <v>545</v>
      </c>
      <c r="I782" s="18">
        <v>45529</v>
      </c>
      <c r="J782" s="10">
        <v>1</v>
      </c>
      <c r="K782" s="10">
        <v>549</v>
      </c>
      <c r="L782">
        <v>549</v>
      </c>
      <c r="M782" s="10">
        <v>589</v>
      </c>
      <c r="N782">
        <f t="shared" si="13"/>
        <v>589</v>
      </c>
      <c r="P7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Row],[orderNum]],ТабПозиции[orderSumm])&gt;1500),ABS(N782*VLOOKUP(ТабПозиции[[#This Row],[orderNum]],ТабЗаказы[#Data],MATCH("Percent",ТабЗаказы[#Headers],0),0))/100,200/COUNTIF(ТабПозиции[orderNum],ТабПозиции[[#This Row],[orderNum]])),0),"")</f>
        <v>67</v>
      </c>
      <c r="Q782">
        <f>IF(OR(ТабПозиции[[#This Row],[item]]="По штрихкоду",ТабПозиции[[#This Row],[item]]="Посылка"),ТабПозиции[[#This Row],[deliverySumm]]+ТабПозиции[[#This Row],[deliveryPost]],SUM(N782:P782))</f>
        <v>656</v>
      </c>
      <c r="R782" s="41">
        <v>656</v>
      </c>
      <c r="S782" s="46">
        <f>ТабПозиции[[#This Row],[totalSumm]]-ТабПозиции[[#This Row],[payment]]</f>
        <v>0</v>
      </c>
      <c r="T782" s="18" t="s">
        <v>960</v>
      </c>
      <c r="U782" s="40" t="s">
        <v>545</v>
      </c>
      <c r="V782" s="40" t="s">
        <v>545</v>
      </c>
      <c r="W782" s="40" t="s">
        <v>545</v>
      </c>
      <c r="X782" s="3"/>
      <c r="Y782"/>
    </row>
    <row r="783" spans="1:25" hidden="1" x14ac:dyDescent="0.25">
      <c r="A783" s="10">
        <v>224</v>
      </c>
      <c r="B783" s="1">
        <f>IFERROR(VLOOKUP(ТабПозиции[[#This Row],[orderNum]],ТабЗаказы[#Data],MATCH(B$7,ТабЗаказы[#Headers],0),0),"")</f>
        <v>45528</v>
      </c>
      <c r="C783" t="str">
        <f>MONTH(ТабПозиции[[#This Row],[date]])&amp;"/"&amp;YEAR(ТабПозиции[[#This Row],[date]])</f>
        <v>8/2024</v>
      </c>
      <c r="D783" s="1" t="str">
        <f>IFERROR(VLOOKUP(ТабПозиции[[#This Row],[orderNum]],ТабЗаказы[#Data],MATCH(D$7,ТабЗаказы[#Headers],0),0),"")</f>
        <v/>
      </c>
      <c r="E783" s="1" t="str">
        <f>IFERROR(VLOOKUP(ТабПозиции[[#This Row],[orderNum]],ТабЗаказы[#Data],MATCH(E$7,ТабЗаказы[#Headers],0),0),"")</f>
        <v/>
      </c>
      <c r="F783" s="16" t="s">
        <v>1245</v>
      </c>
      <c r="G783" s="40" t="s">
        <v>545</v>
      </c>
      <c r="I783" s="18">
        <v>45530</v>
      </c>
      <c r="J783" s="10">
        <v>1</v>
      </c>
      <c r="K783" s="10">
        <v>1191</v>
      </c>
      <c r="L783">
        <v>1191</v>
      </c>
      <c r="M783" s="10">
        <v>1254</v>
      </c>
      <c r="N783">
        <f t="shared" si="13"/>
        <v>1254</v>
      </c>
      <c r="P7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Row],[orderNum]],ТабПозиции[orderSumm])&gt;1500),ABS(N783*VLOOKUP(ТабПозиции[[#This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783">
        <f>IF(OR(ТабПозиции[[#This Row],[item]]="По штрихкоду",ТабПозиции[[#This Row],[item]]="Посылка"),ТабПозиции[[#This Row],[deliverySumm]]+ТабПозиции[[#This Row],[deliveryPost]],SUM(N783:P783))</f>
        <v>1454</v>
      </c>
      <c r="R783" s="41">
        <v>1454</v>
      </c>
      <c r="S783" s="46">
        <f>ТабПозиции[[#This Row],[totalSumm]]-ТабПозиции[[#This Row],[payment]]</f>
        <v>0</v>
      </c>
      <c r="T783" s="18" t="s">
        <v>970</v>
      </c>
      <c r="U783" s="40" t="s">
        <v>545</v>
      </c>
      <c r="V783" s="40" t="s">
        <v>545</v>
      </c>
      <c r="W783" s="40" t="s">
        <v>545</v>
      </c>
      <c r="X783" s="3"/>
      <c r="Y783"/>
    </row>
    <row r="784" spans="1:25" hidden="1" x14ac:dyDescent="0.25">
      <c r="A784" s="10">
        <v>191</v>
      </c>
      <c r="B784" s="1">
        <f>IFERROR(VLOOKUP(ТабПозиции[[#This Row],[orderNum]],ТабЗаказы[#Data],MATCH(B$7,ТабЗаказы[#Headers],0),0),"")</f>
        <v>45523</v>
      </c>
      <c r="C784" t="str">
        <f>MONTH(ТабПозиции[[#This Row],[date]])&amp;"/"&amp;YEAR(ТабПозиции[[#This Row],[date]])</f>
        <v>8/2024</v>
      </c>
      <c r="D784" s="1" t="str">
        <f>IFERROR(VLOOKUP(ТабПозиции[[#This Row],[orderNum]],ТабЗаказы[#Data],MATCH(D$7,ТабЗаказы[#Headers],0),0),"")</f>
        <v/>
      </c>
      <c r="E784" s="1" t="str">
        <f>IFERROR(VLOOKUP(ТабПозиции[[#This Row],[orderNum]],ТабЗаказы[#Data],MATCH(E$7,ТабЗаказы[#Headers],0),0),"")</f>
        <v/>
      </c>
      <c r="F784" s="10" t="s">
        <v>820</v>
      </c>
      <c r="G784" s="40" t="s">
        <v>545</v>
      </c>
      <c r="H784" s="12" t="s">
        <v>1246</v>
      </c>
      <c r="I784" s="18">
        <v>45536</v>
      </c>
      <c r="J784" s="10">
        <v>1</v>
      </c>
      <c r="K784" s="10">
        <v>6850</v>
      </c>
      <c r="L784">
        <v>6850</v>
      </c>
      <c r="M784" s="10">
        <v>6850</v>
      </c>
      <c r="N784">
        <f t="shared" si="13"/>
        <v>6850</v>
      </c>
      <c r="O784" s="10">
        <v>320</v>
      </c>
      <c r="P7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Row],[orderNum]],ТабПозиции[orderSumm])&gt;1500),ABS(N784*VLOOKUP(ТабПозиции[[#This Row],[orderNum]],ТабЗаказы[#Data],MATCH("Percent",ТабЗаказы[#Headers],0),0))/100,200/COUNTIF(ТабПозиции[orderNum],ТабПозиции[[#This Row],[orderNum]])),0),"")</f>
        <v>685</v>
      </c>
      <c r="Q784">
        <f>IF(OR(ТабПозиции[[#This Row],[item]]="По штрихкоду",ТабПозиции[[#This Row],[item]]="Посылка"),ТабПозиции[[#This Row],[deliverySumm]]+ТабПозиции[[#This Row],[deliveryPost]],SUM(N784:P784))</f>
        <v>1005</v>
      </c>
      <c r="R784" s="41">
        <v>1005</v>
      </c>
      <c r="S784" s="46">
        <f>ТабПозиции[[#This Row],[totalSumm]]-ТабПозиции[[#This Row],[payment]]</f>
        <v>0</v>
      </c>
      <c r="T784" s="18" t="s">
        <v>1021</v>
      </c>
      <c r="U784" s="40" t="s">
        <v>545</v>
      </c>
      <c r="V784" s="40" t="s">
        <v>545</v>
      </c>
      <c r="W784" s="40" t="s">
        <v>545</v>
      </c>
      <c r="X784" s="3"/>
      <c r="Y784"/>
    </row>
    <row r="785" spans="1:25" hidden="1" x14ac:dyDescent="0.25">
      <c r="A785" s="10">
        <v>227</v>
      </c>
      <c r="B785" s="1">
        <f>IFERROR(VLOOKUP(ТабПозиции[[#This Row],[orderNum]],ТабЗаказы[#Data],MATCH(B$7,ТабЗаказы[#Headers],0),0),"")</f>
        <v>45531</v>
      </c>
      <c r="C785" t="str">
        <f>MONTH(ТабПозиции[[#This Row],[date]])&amp;"/"&amp;YEAR(ТабПозиции[[#This Row],[date]])</f>
        <v>8/2024</v>
      </c>
      <c r="D785" s="1" t="str">
        <f>IFERROR(VLOOKUP(ТабПозиции[[#This Row],[orderNum]],ТабЗаказы[#Data],MATCH(D$7,ТабЗаказы[#Headers],0),0),"")</f>
        <v/>
      </c>
      <c r="E785" s="1" t="str">
        <f>IFERROR(VLOOKUP(ТабПозиции[[#This Row],[orderNum]],ТабЗаказы[#Data],MATCH(E$7,ТабЗаказы[#Headers],0),0),"")</f>
        <v/>
      </c>
      <c r="F785" s="10" t="s">
        <v>820</v>
      </c>
      <c r="G785" s="40" t="s">
        <v>545</v>
      </c>
      <c r="H785" s="12" t="s">
        <v>1247</v>
      </c>
      <c r="I785" s="18">
        <v>45534</v>
      </c>
      <c r="J785" s="10">
        <v>1</v>
      </c>
      <c r="K785" s="10">
        <v>80000</v>
      </c>
      <c r="L785">
        <v>80000</v>
      </c>
      <c r="M785" s="10">
        <v>80000</v>
      </c>
      <c r="N785">
        <f t="shared" si="13"/>
        <v>80000</v>
      </c>
      <c r="P7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Row],[orderNum]],ТабПозиции[orderSumm])&gt;1500),ABS(N785*VLOOKUP(ТабПозиции[[#This Row],[orderNum]],ТабЗаказы[#Data],MATCH("Percent",ТабЗаказы[#Headers],0),0))/100,200/COUNTIF(ТабПозиции[orderNum],ТабПозиции[[#This Row],[orderNum]])),0),"")</f>
        <v>8000</v>
      </c>
      <c r="Q785">
        <f>IF(OR(ТабПозиции[[#This Row],[item]]="По штрихкоду",ТабПозиции[[#This Row],[item]]="Посылка"),ТабПозиции[[#This Row],[deliverySumm]]+ТабПозиции[[#This Row],[deliveryPost]],SUM(N785:P785))</f>
        <v>8000</v>
      </c>
      <c r="R785" s="41">
        <v>8000</v>
      </c>
      <c r="S785" s="46">
        <f>ТабПозиции[[#This Row],[totalSumm]]-ТабПозиции[[#This Row],[payment]]</f>
        <v>0</v>
      </c>
      <c r="T785" s="18" t="s">
        <v>1021</v>
      </c>
      <c r="U785" s="40" t="s">
        <v>545</v>
      </c>
      <c r="V785" s="40" t="s">
        <v>545</v>
      </c>
      <c r="W785" s="40" t="s">
        <v>545</v>
      </c>
      <c r="X785" s="3"/>
      <c r="Y785"/>
    </row>
    <row r="786" spans="1:25" hidden="1" x14ac:dyDescent="0.25">
      <c r="A786" s="10">
        <v>225</v>
      </c>
      <c r="B786" s="1">
        <f>IFERROR(VLOOKUP(ТабПозиции[[#This Row],[orderNum]],ТабЗаказы[#Data],MATCH(B$7,ТабЗаказы[#Headers],0),0),"")</f>
        <v>45529</v>
      </c>
      <c r="C786" t="str">
        <f>MONTH(ТабПозиции[[#This Row],[date]])&amp;"/"&amp;YEAR(ТабПозиции[[#This Row],[date]])</f>
        <v>8/2024</v>
      </c>
      <c r="D786" s="1" t="str">
        <f>IFERROR(VLOOKUP(ТабПозиции[[#This Row],[orderNum]],ТабЗаказы[#Data],MATCH(D$7,ТабЗаказы[#Headers],0),0),"")</f>
        <v/>
      </c>
      <c r="E786" s="1" t="str">
        <f>IFERROR(VLOOKUP(ТабПозиции[[#This Row],[orderNum]],ТабЗаказы[#Data],MATCH(E$7,ТабЗаказы[#Headers],0),0),"")</f>
        <v/>
      </c>
      <c r="F786" s="16" t="s">
        <v>1248</v>
      </c>
      <c r="G786" s="40" t="s">
        <v>545</v>
      </c>
      <c r="I786" s="18">
        <v>45531</v>
      </c>
      <c r="J786" s="10">
        <v>1</v>
      </c>
      <c r="K786" s="10">
        <v>1122</v>
      </c>
      <c r="L786">
        <v>1122</v>
      </c>
      <c r="M786" s="10">
        <v>1241</v>
      </c>
      <c r="N786">
        <f t="shared" si="13"/>
        <v>1241</v>
      </c>
      <c r="P7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Row],[orderNum]],ТабПозиции[orderSumm])&gt;1500),ABS(N786*VLOOKUP(ТабПозиции[[#This Row],[orderNum]],ТабЗаказы[#Data],MATCH("Percent",ТабЗаказы[#Headers],0),0))/100,200/COUNTIF(ТабПозиции[orderNum],ТабПозиции[[#This Row],[orderNum]])),0),"")</f>
        <v>186</v>
      </c>
      <c r="Q786">
        <f>IF(OR(ТабПозиции[[#This Row],[item]]="По штрихкоду",ТабПозиции[[#This Row],[item]]="Посылка"),ТабПозиции[[#This Row],[deliverySumm]]+ТабПозиции[[#This Row],[deliveryPost]],SUM(N786:P786))</f>
        <v>1427</v>
      </c>
      <c r="R786" s="41">
        <v>1427</v>
      </c>
      <c r="S786" s="46">
        <f>ТабПозиции[[#This Row],[totalSumm]]-ТабПозиции[[#This Row],[payment]]</f>
        <v>0</v>
      </c>
      <c r="T786" s="18" t="s">
        <v>960</v>
      </c>
      <c r="U786" s="40" t="s">
        <v>545</v>
      </c>
      <c r="V786" s="40" t="s">
        <v>545</v>
      </c>
      <c r="W786" s="40" t="s">
        <v>545</v>
      </c>
      <c r="X786" s="3"/>
      <c r="Y786"/>
    </row>
    <row r="787" spans="1:25" hidden="1" x14ac:dyDescent="0.25">
      <c r="A787" s="10">
        <v>225</v>
      </c>
      <c r="B787" s="1">
        <f>IFERROR(VLOOKUP(ТабПозиции[[#This Row],[orderNum]],ТабЗаказы[#Data],MATCH(B$7,ТабЗаказы[#Headers],0),0),"")</f>
        <v>45529</v>
      </c>
      <c r="C787" t="str">
        <f>MONTH(ТабПозиции[[#This Row],[date]])&amp;"/"&amp;YEAR(ТабПозиции[[#This Row],[date]])</f>
        <v>8/2024</v>
      </c>
      <c r="D787" s="1" t="str">
        <f>IFERROR(VLOOKUP(ТабПозиции[[#This Row],[orderNum]],ТабЗаказы[#Data],MATCH(D$7,ТабЗаказы[#Headers],0),0),"")</f>
        <v/>
      </c>
      <c r="E787" s="1" t="str">
        <f>IFERROR(VLOOKUP(ТабПозиции[[#This Row],[orderNum]],ТабЗаказы[#Data],MATCH(E$7,ТабЗаказы[#Headers],0),0),"")</f>
        <v/>
      </c>
      <c r="F787" s="16" t="s">
        <v>1249</v>
      </c>
      <c r="G787" s="40" t="s">
        <v>545</v>
      </c>
      <c r="I787" s="18">
        <v>45533</v>
      </c>
      <c r="J787" s="10">
        <v>1</v>
      </c>
      <c r="K787" s="10">
        <v>937</v>
      </c>
      <c r="L787">
        <v>937</v>
      </c>
      <c r="M787" s="10">
        <v>982</v>
      </c>
      <c r="N787">
        <f t="shared" si="13"/>
        <v>982</v>
      </c>
      <c r="P7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Row],[orderNum]],ТабПозиции[orderSumm])&gt;1500),ABS(N787*VLOOKUP(ТабПозиции[[#This Row],[orderNum]],ТабЗаказы[#Data],MATCH("Percent",ТабЗаказы[#Headers],0),0))/100,200/COUNTIF(ТабПозиции[orderNum],ТабПозиции[[#This Row],[orderNum]])),0),"")</f>
        <v>147</v>
      </c>
      <c r="Q787">
        <f>IF(OR(ТабПозиции[[#This Row],[item]]="По штрихкоду",ТабПозиции[[#This Row],[item]]="Посылка"),ТабПозиции[[#This Row],[deliverySumm]]+ТабПозиции[[#This Row],[deliveryPost]],SUM(N787:P787))</f>
        <v>1129</v>
      </c>
      <c r="R787" s="41">
        <v>1129</v>
      </c>
      <c r="S787" s="46">
        <f>ТабПозиции[[#This Row],[totalSumm]]-ТабПозиции[[#This Row],[payment]]</f>
        <v>0</v>
      </c>
      <c r="T787" s="18" t="s">
        <v>960</v>
      </c>
      <c r="U787" s="40" t="s">
        <v>545</v>
      </c>
      <c r="V787" s="40" t="s">
        <v>545</v>
      </c>
      <c r="W787" s="40" t="s">
        <v>545</v>
      </c>
      <c r="X787" s="3"/>
      <c r="Y787"/>
    </row>
    <row r="788" spans="1:25" hidden="1" x14ac:dyDescent="0.25">
      <c r="A788" s="10">
        <v>225</v>
      </c>
      <c r="B788" s="1">
        <f>IFERROR(VLOOKUP(ТабПозиции[[#This Row],[orderNum]],ТабЗаказы[#Data],MATCH(B$7,ТабЗаказы[#Headers],0),0),"")</f>
        <v>45529</v>
      </c>
      <c r="C788" t="str">
        <f>MONTH(ТабПозиции[[#This Row],[date]])&amp;"/"&amp;YEAR(ТабПозиции[[#This Row],[date]])</f>
        <v>8/2024</v>
      </c>
      <c r="D788" s="1" t="str">
        <f>IFERROR(VLOOKUP(ТабПозиции[[#This Row],[orderNum]],ТабЗаказы[#Data],MATCH(D$7,ТабЗаказы[#Headers],0),0),"")</f>
        <v/>
      </c>
      <c r="E788" s="1" t="str">
        <f>IFERROR(VLOOKUP(ТабПозиции[[#This Row],[orderNum]],ТабЗаказы[#Data],MATCH(E$7,ТабЗаказы[#Headers],0),0),"")</f>
        <v/>
      </c>
      <c r="F788" s="16" t="s">
        <v>1250</v>
      </c>
      <c r="G788" s="40" t="s">
        <v>545</v>
      </c>
      <c r="I788" s="18">
        <v>45533</v>
      </c>
      <c r="J788" s="10">
        <v>1</v>
      </c>
      <c r="K788" s="10">
        <v>899</v>
      </c>
      <c r="L788">
        <v>899</v>
      </c>
      <c r="M788" s="10">
        <v>943</v>
      </c>
      <c r="N788">
        <f t="shared" si="13"/>
        <v>943</v>
      </c>
      <c r="P7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Row],[orderNum]],ТабПозиции[orderSumm])&gt;1500),ABS(N788*VLOOKUP(ТабПозиции[[#This Row],[orderNum]],ТабЗаказы[#Data],MATCH("Percent",ТабЗаказы[#Headers],0),0))/100,200/COUNTIF(ТабПозиции[orderNum],ТабПозиции[[#This Row],[orderNum]])),0),"")</f>
        <v>141</v>
      </c>
      <c r="Q788">
        <f>IF(OR(ТабПозиции[[#This Row],[item]]="По штрихкоду",ТабПозиции[[#This Row],[item]]="Посылка"),ТабПозиции[[#This Row],[deliverySumm]]+ТабПозиции[[#This Row],[deliveryPost]],SUM(N788:P788))</f>
        <v>1084</v>
      </c>
      <c r="R788" s="41">
        <v>1084</v>
      </c>
      <c r="S788" s="46">
        <f>ТабПозиции[[#This Row],[totalSumm]]-ТабПозиции[[#This Row],[payment]]</f>
        <v>0</v>
      </c>
      <c r="T788" s="18" t="s">
        <v>960</v>
      </c>
      <c r="U788" s="40" t="s">
        <v>545</v>
      </c>
      <c r="V788" s="40" t="s">
        <v>545</v>
      </c>
      <c r="W788" s="40" t="s">
        <v>545</v>
      </c>
      <c r="X788" s="3"/>
      <c r="Y788"/>
    </row>
    <row r="789" spans="1:25" hidden="1" x14ac:dyDescent="0.25">
      <c r="A789" s="10">
        <v>226</v>
      </c>
      <c r="B789" s="1">
        <f>IFERROR(VLOOKUP(ТабПозиции[[#This Row],[orderNum]],ТабЗаказы[#Data],MATCH(B$7,ТабЗаказы[#Headers],0),0),"")</f>
        <v>45530</v>
      </c>
      <c r="C789" t="str">
        <f>MONTH(ТабПозиции[[#This Row],[date]])&amp;"/"&amp;YEAR(ТабПозиции[[#This Row],[date]])</f>
        <v>8/2024</v>
      </c>
      <c r="D789" s="1" t="str">
        <f>IFERROR(VLOOKUP(ТабПозиции[[#This Row],[orderNum]],ТабЗаказы[#Data],MATCH(D$7,ТабЗаказы[#Headers],0),0),"")</f>
        <v/>
      </c>
      <c r="E789" s="1" t="str">
        <f>IFERROR(VLOOKUP(ТабПозиции[[#This Row],[orderNum]],ТабЗаказы[#Data],MATCH(E$7,ТабЗаказы[#Headers],0),0),"")</f>
        <v/>
      </c>
      <c r="F789" s="16" t="s">
        <v>1251</v>
      </c>
      <c r="G789" s="40" t="s">
        <v>545</v>
      </c>
      <c r="I789" s="18">
        <v>45533</v>
      </c>
      <c r="J789" s="10">
        <v>1</v>
      </c>
      <c r="K789" s="10">
        <v>665</v>
      </c>
      <c r="L789">
        <v>665</v>
      </c>
      <c r="M789" s="10">
        <v>701</v>
      </c>
      <c r="N789">
        <f t="shared" si="13"/>
        <v>701</v>
      </c>
      <c r="P7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Row],[orderNum]],ТабПозиции[orderSumm])&gt;1500),ABS(N789*VLOOKUP(ТабПозиции[[#This Row],[orderNum]],ТабЗаказы[#Data],MATCH("Percent",ТабЗаказы[#Headers],0),0))/100,200/COUNTIF(ТабПозиции[orderNum],ТабПозиции[[#This Row],[orderNum]])),0),"")</f>
        <v>105</v>
      </c>
      <c r="Q789">
        <f>IF(OR(ТабПозиции[[#This Row],[item]]="По штрихкоду",ТабПозиции[[#This Row],[item]]="Посылка"),ТабПозиции[[#This Row],[deliverySumm]]+ТабПозиции[[#This Row],[deliveryPost]],SUM(N789:P789))</f>
        <v>806</v>
      </c>
      <c r="R789" s="41">
        <v>806</v>
      </c>
      <c r="S789" s="46">
        <f>ТабПозиции[[#This Row],[totalSumm]]-ТабПозиции[[#This Row],[payment]]</f>
        <v>0</v>
      </c>
      <c r="T789" s="18" t="s">
        <v>970</v>
      </c>
      <c r="U789" s="40" t="s">
        <v>545</v>
      </c>
      <c r="V789" s="40" t="s">
        <v>545</v>
      </c>
      <c r="W789" s="40" t="s">
        <v>545</v>
      </c>
      <c r="X789" s="3"/>
      <c r="Y789"/>
    </row>
    <row r="790" spans="1:25" hidden="1" x14ac:dyDescent="0.25">
      <c r="A790" s="10">
        <v>226</v>
      </c>
      <c r="B790" s="1">
        <f>IFERROR(VLOOKUP(ТабПозиции[[#This Row],[orderNum]],ТабЗаказы[#Data],MATCH(B$7,ТабЗаказы[#Headers],0),0),"")</f>
        <v>45530</v>
      </c>
      <c r="C790" t="str">
        <f>MONTH(ТабПозиции[[#This Row],[date]])&amp;"/"&amp;YEAR(ТабПозиции[[#This Row],[date]])</f>
        <v>8/2024</v>
      </c>
      <c r="D790" s="1" t="str">
        <f>IFERROR(VLOOKUP(ТабПозиции[[#This Row],[orderNum]],ТабЗаказы[#Data],MATCH(D$7,ТабЗаказы[#Headers],0),0),"")</f>
        <v/>
      </c>
      <c r="E790" s="1" t="str">
        <f>IFERROR(VLOOKUP(ТабПозиции[[#This Row],[orderNum]],ТабЗаказы[#Data],MATCH(E$7,ТабЗаказы[#Headers],0),0),"")</f>
        <v/>
      </c>
      <c r="F790" s="16" t="s">
        <v>1252</v>
      </c>
      <c r="G790" s="40" t="s">
        <v>545</v>
      </c>
      <c r="I790" s="18">
        <v>45533</v>
      </c>
      <c r="J790" s="10">
        <v>1</v>
      </c>
      <c r="K790" s="10">
        <v>688</v>
      </c>
      <c r="L790">
        <v>688</v>
      </c>
      <c r="M790" s="10">
        <v>725</v>
      </c>
      <c r="N790">
        <f t="shared" si="13"/>
        <v>725</v>
      </c>
      <c r="P7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Row],[orderNum]],ТабПозиции[orderSumm])&gt;1500),ABS(N790*VLOOKUP(ТабПозиции[[#This Row],[orderNum]],ТабЗаказы[#Data],MATCH("Percent",ТабЗаказы[#Headers],0),0))/100,200/COUNTIF(ТабПозиции[orderNum],ТабПозиции[[#This Row],[orderNum]])),0),"")</f>
        <v>109</v>
      </c>
      <c r="Q790">
        <f>IF(OR(ТабПозиции[[#This Row],[item]]="По штрихкоду",ТабПозиции[[#This Row],[item]]="Посылка"),ТабПозиции[[#This Row],[deliverySumm]]+ТабПозиции[[#This Row],[deliveryPost]],SUM(N790:P790))</f>
        <v>834</v>
      </c>
      <c r="R790" s="41">
        <v>834</v>
      </c>
      <c r="S790" s="46">
        <f>ТабПозиции[[#This Row],[totalSumm]]-ТабПозиции[[#This Row],[payment]]</f>
        <v>0</v>
      </c>
      <c r="T790" s="18" t="s">
        <v>970</v>
      </c>
      <c r="U790" s="40" t="s">
        <v>545</v>
      </c>
      <c r="V790" s="40" t="s">
        <v>545</v>
      </c>
      <c r="W790" s="40" t="s">
        <v>545</v>
      </c>
      <c r="X790" s="3"/>
      <c r="Y790"/>
    </row>
    <row r="791" spans="1:25" hidden="1" x14ac:dyDescent="0.25">
      <c r="A791" s="10">
        <v>226</v>
      </c>
      <c r="B791" s="1">
        <f>IFERROR(VLOOKUP(ТабПозиции[[#This Row],[orderNum]],ТабЗаказы[#Data],MATCH(B$7,ТабЗаказы[#Headers],0),0),"")</f>
        <v>45530</v>
      </c>
      <c r="C791" t="str">
        <f>MONTH(ТабПозиции[[#This Row],[date]])&amp;"/"&amp;YEAR(ТабПозиции[[#This Row],[date]])</f>
        <v>8/2024</v>
      </c>
      <c r="D791" s="1" t="str">
        <f>IFERROR(VLOOKUP(ТабПозиции[[#This Row],[orderNum]],ТабЗаказы[#Data],MATCH(D$7,ТабЗаказы[#Headers],0),0),"")</f>
        <v/>
      </c>
      <c r="E791" s="1" t="str">
        <f>IFERROR(VLOOKUP(ТабПозиции[[#This Row],[orderNum]],ТабЗаказы[#Data],MATCH(E$7,ТабЗаказы[#Headers],0),0),"")</f>
        <v/>
      </c>
      <c r="F791" s="16" t="s">
        <v>1253</v>
      </c>
      <c r="G791" s="40" t="s">
        <v>545</v>
      </c>
      <c r="I791" s="18">
        <v>45532</v>
      </c>
      <c r="J791" s="10">
        <v>1</v>
      </c>
      <c r="K791" s="10">
        <v>314</v>
      </c>
      <c r="L791">
        <v>314</v>
      </c>
      <c r="M791" s="10">
        <v>331</v>
      </c>
      <c r="N791">
        <f t="shared" si="13"/>
        <v>331</v>
      </c>
      <c r="P7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Row],[orderNum]],ТабПозиции[orderSumm])&gt;1500),ABS(N791*VLOOKUP(ТабПозиции[[#This Row],[orderNum]],ТабЗаказы[#Data],MATCH("Percent",ТабЗаказы[#Headers],0),0))/100,200/COUNTIF(ТабПозиции[orderNum],ТабПозиции[[#This Row],[orderNum]])),0),"")</f>
        <v>50</v>
      </c>
      <c r="Q791">
        <f>IF(OR(ТабПозиции[[#This Row],[item]]="По штрихкоду",ТабПозиции[[#This Row],[item]]="Посылка"),ТабПозиции[[#This Row],[deliverySumm]]+ТабПозиции[[#This Row],[deliveryPost]],SUM(N791:P791))</f>
        <v>381</v>
      </c>
      <c r="R791" s="41">
        <v>381</v>
      </c>
      <c r="S791" s="46">
        <f>ТабПозиции[[#This Row],[totalSumm]]-ТабПозиции[[#This Row],[payment]]</f>
        <v>0</v>
      </c>
      <c r="T791" s="18" t="s">
        <v>970</v>
      </c>
      <c r="U791" s="40" t="s">
        <v>545</v>
      </c>
      <c r="V791" s="40" t="s">
        <v>545</v>
      </c>
      <c r="W791" s="40" t="s">
        <v>545</v>
      </c>
      <c r="X791" s="3"/>
      <c r="Y791"/>
    </row>
    <row r="792" spans="1:25" hidden="1" x14ac:dyDescent="0.25">
      <c r="A792" s="10">
        <v>226</v>
      </c>
      <c r="B792" s="1">
        <f>IFERROR(VLOOKUP(ТабПозиции[[#This Row],[orderNum]],ТабЗаказы[#Data],MATCH(B$7,ТабЗаказы[#Headers],0),0),"")</f>
        <v>45530</v>
      </c>
      <c r="C792" t="str">
        <f>MONTH(ТабПозиции[[#This Row],[date]])&amp;"/"&amp;YEAR(ТабПозиции[[#This Row],[date]])</f>
        <v>8/2024</v>
      </c>
      <c r="D792" s="1" t="str">
        <f>IFERROR(VLOOKUP(ТабПозиции[[#This Row],[orderNum]],ТабЗаказы[#Data],MATCH(D$7,ТабЗаказы[#Headers],0),0),"")</f>
        <v/>
      </c>
      <c r="E792" s="1" t="str">
        <f>IFERROR(VLOOKUP(ТабПозиции[[#This Row],[orderNum]],ТабЗаказы[#Data],MATCH(E$7,ТабЗаказы[#Headers],0),0),"")</f>
        <v/>
      </c>
      <c r="F792" s="16" t="s">
        <v>1254</v>
      </c>
      <c r="G792" s="40" t="s">
        <v>545</v>
      </c>
      <c r="I792" s="18">
        <v>45532</v>
      </c>
      <c r="J792" s="10">
        <v>1</v>
      </c>
      <c r="K792" s="10">
        <v>553</v>
      </c>
      <c r="L792">
        <v>553</v>
      </c>
      <c r="M792" s="10">
        <v>583</v>
      </c>
      <c r="N792">
        <f t="shared" si="13"/>
        <v>583</v>
      </c>
      <c r="P7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Row],[orderNum]],ТабПозиции[orderSumm])&gt;1500),ABS(N792*VLOOKUP(ТабПозиции[[#This Row],[orderNum]],ТабЗаказы[#Data],MATCH("Percent",ТабЗаказы[#Headers],0),0))/100,200/COUNTIF(ТабПозиции[orderNum],ТабПозиции[[#This Row],[orderNum]])),0),"")</f>
        <v>87</v>
      </c>
      <c r="Q792">
        <f>IF(OR(ТабПозиции[[#This Row],[item]]="По штрихкоду",ТабПозиции[[#This Row],[item]]="Посылка"),ТабПозиции[[#This Row],[deliverySumm]]+ТабПозиции[[#This Row],[deliveryPost]],SUM(N792:P792))</f>
        <v>670</v>
      </c>
      <c r="R792" s="41">
        <v>670</v>
      </c>
      <c r="S792" s="46">
        <f>ТабПозиции[[#This Row],[totalSumm]]-ТабПозиции[[#This Row],[payment]]</f>
        <v>0</v>
      </c>
      <c r="T792" s="18" t="s">
        <v>970</v>
      </c>
      <c r="U792" s="40" t="s">
        <v>545</v>
      </c>
      <c r="V792" s="40" t="s">
        <v>545</v>
      </c>
      <c r="W792" s="40" t="s">
        <v>545</v>
      </c>
      <c r="X792" s="3"/>
      <c r="Y792"/>
    </row>
    <row r="793" spans="1:25" hidden="1" x14ac:dyDescent="0.25">
      <c r="A793" s="10">
        <v>226</v>
      </c>
      <c r="B793" s="1">
        <f>IFERROR(VLOOKUP(ТабПозиции[[#This Row],[orderNum]],ТабЗаказы[#Data],MATCH(B$7,ТабЗаказы[#Headers],0),0),"")</f>
        <v>45530</v>
      </c>
      <c r="C793" t="str">
        <f>MONTH(ТабПозиции[[#This Row],[date]])&amp;"/"&amp;YEAR(ТабПозиции[[#This Row],[date]])</f>
        <v>8/2024</v>
      </c>
      <c r="D793" s="1" t="str">
        <f>IFERROR(VLOOKUP(ТабПозиции[[#This Row],[orderNum]],ТабЗаказы[#Data],MATCH(D$7,ТабЗаказы[#Headers],0),0),"")</f>
        <v/>
      </c>
      <c r="E793" s="1" t="str">
        <f>IFERROR(VLOOKUP(ТабПозиции[[#This Row],[orderNum]],ТабЗаказы[#Data],MATCH(E$7,ТабЗаказы[#Headers],0),0),"")</f>
        <v/>
      </c>
      <c r="F793" s="16" t="s">
        <v>1255</v>
      </c>
      <c r="G793" s="40" t="s">
        <v>545</v>
      </c>
      <c r="I793" s="18">
        <v>45534</v>
      </c>
      <c r="J793" s="10">
        <v>1</v>
      </c>
      <c r="K793" s="10">
        <v>427</v>
      </c>
      <c r="L793">
        <v>427</v>
      </c>
      <c r="M793" s="10">
        <v>450</v>
      </c>
      <c r="N793">
        <f t="shared" si="13"/>
        <v>450</v>
      </c>
      <c r="P7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Row],[orderNum]],ТабПозиции[orderSumm])&gt;1500),ABS(N793*VLOOKUP(ТабПозиции[[#This Row],[orderNum]],ТабЗаказы[#Data],MATCH("Percent",ТабЗаказы[#Headers],0),0))/100,200/COUNTIF(ТабПозиции[orderNum],ТабПозиции[[#This Row],[orderNum]])),0),"")</f>
        <v>68</v>
      </c>
      <c r="Q793">
        <f>IF(OR(ТабПозиции[[#This Row],[item]]="По штрихкоду",ТабПозиции[[#This Row],[item]]="Посылка"),ТабПозиции[[#This Row],[deliverySumm]]+ТабПозиции[[#This Row],[deliveryPost]],SUM(N793:P793))</f>
        <v>518</v>
      </c>
      <c r="R793" s="41">
        <v>518</v>
      </c>
      <c r="S793" s="46">
        <f>ТабПозиции[[#This Row],[totalSumm]]-ТабПозиции[[#This Row],[payment]]</f>
        <v>0</v>
      </c>
      <c r="T793" s="18" t="s">
        <v>970</v>
      </c>
      <c r="U793" s="40" t="s">
        <v>545</v>
      </c>
      <c r="V793" s="40" t="s">
        <v>545</v>
      </c>
      <c r="W793" s="40" t="s">
        <v>545</v>
      </c>
      <c r="X793" s="3"/>
      <c r="Y793"/>
    </row>
    <row r="794" spans="1:25" hidden="1" x14ac:dyDescent="0.25">
      <c r="A794" s="10">
        <v>226</v>
      </c>
      <c r="B794" s="1">
        <f>IFERROR(VLOOKUP(ТабПозиции[[#This Row],[orderNum]],ТабЗаказы[#Data],MATCH(B$7,ТабЗаказы[#Headers],0),0),"")</f>
        <v>45530</v>
      </c>
      <c r="C794" t="str">
        <f>MONTH(ТабПозиции[[#This Row],[date]])&amp;"/"&amp;YEAR(ТабПозиции[[#This Row],[date]])</f>
        <v>8/2024</v>
      </c>
      <c r="D794" s="1" t="str">
        <f>IFERROR(VLOOKUP(ТабПозиции[[#This Row],[orderNum]],ТабЗаказы[#Data],MATCH(D$7,ТабЗаказы[#Headers],0),0),"")</f>
        <v/>
      </c>
      <c r="E794" s="1" t="str">
        <f>IFERROR(VLOOKUP(ТабПозиции[[#This Row],[orderNum]],ТабЗаказы[#Data],MATCH(E$7,ТабЗаказы[#Headers],0),0),"")</f>
        <v/>
      </c>
      <c r="F794" s="16" t="s">
        <v>1256</v>
      </c>
      <c r="G794" s="40" t="s">
        <v>545</v>
      </c>
      <c r="I794" s="18">
        <v>45534</v>
      </c>
      <c r="J794" s="10">
        <v>1</v>
      </c>
      <c r="K794" s="10">
        <v>253</v>
      </c>
      <c r="L794">
        <v>253</v>
      </c>
      <c r="M794" s="10">
        <v>267</v>
      </c>
      <c r="N794">
        <f t="shared" si="13"/>
        <v>267</v>
      </c>
      <c r="P7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Row],[orderNum]],ТабПозиции[orderSumm])&gt;1500),ABS(N794*VLOOKUP(ТабПозиции[[#This Row],[orderNum]],ТабЗаказы[#Data],MATCH("Percent",ТабЗаказы[#Headers],0),0))/100,200/COUNTIF(ТабПозиции[orderNum],ТабПозиции[[#This Row],[orderNum]])),0),"")</f>
        <v>40</v>
      </c>
      <c r="Q794">
        <f>IF(OR(ТабПозиции[[#This Row],[item]]="По штрихкоду",ТабПозиции[[#This Row],[item]]="Посылка"),ТабПозиции[[#This Row],[deliverySumm]]+ТабПозиции[[#This Row],[deliveryPost]],SUM(N794:P794))</f>
        <v>307</v>
      </c>
      <c r="R794" s="41">
        <v>307</v>
      </c>
      <c r="S794" s="46">
        <f>ТабПозиции[[#This Row],[totalSumm]]-ТабПозиции[[#This Row],[payment]]</f>
        <v>0</v>
      </c>
      <c r="T794" s="18" t="s">
        <v>970</v>
      </c>
      <c r="U794" s="40" t="s">
        <v>545</v>
      </c>
      <c r="V794" s="40" t="s">
        <v>545</v>
      </c>
      <c r="W794" s="40" t="s">
        <v>545</v>
      </c>
      <c r="X794" s="3"/>
      <c r="Y794"/>
    </row>
    <row r="795" spans="1:25" hidden="1" x14ac:dyDescent="0.25">
      <c r="A795" s="10">
        <v>226</v>
      </c>
      <c r="B795" s="1">
        <f>IFERROR(VLOOKUP(ТабПозиции[[#This Row],[orderNum]],ТабЗаказы[#Data],MATCH(B$7,ТабЗаказы[#Headers],0),0),"")</f>
        <v>45530</v>
      </c>
      <c r="C795" t="str">
        <f>MONTH(ТабПозиции[[#This Row],[date]])&amp;"/"&amp;YEAR(ТабПозиции[[#This Row],[date]])</f>
        <v>8/2024</v>
      </c>
      <c r="D795" s="1" t="str">
        <f>IFERROR(VLOOKUP(ТабПозиции[[#This Row],[orderNum]],ТабЗаказы[#Data],MATCH(D$7,ТабЗаказы[#Headers],0),0),"")</f>
        <v/>
      </c>
      <c r="E795" s="1" t="str">
        <f>IFERROR(VLOOKUP(ТабПозиции[[#This Row],[orderNum]],ТабЗаказы[#Data],MATCH(E$7,ТабЗаказы[#Headers],0),0),"")</f>
        <v/>
      </c>
      <c r="F795" s="16" t="s">
        <v>1257</v>
      </c>
      <c r="G795" s="40" t="s">
        <v>545</v>
      </c>
      <c r="I795" s="18">
        <v>45532</v>
      </c>
      <c r="J795" s="10">
        <v>1</v>
      </c>
      <c r="K795" s="10">
        <v>169</v>
      </c>
      <c r="L795">
        <v>169</v>
      </c>
      <c r="M795" s="10">
        <v>178</v>
      </c>
      <c r="N795">
        <f t="shared" si="13"/>
        <v>178</v>
      </c>
      <c r="P7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Row],[orderNum]],ТабПозиции[orderSumm])&gt;1500),ABS(N795*VLOOKUP(ТабПозиции[[#This Row],[orderNum]],ТабЗаказы[#Data],MATCH("Percent",ТабЗаказы[#Headers],0),0))/100,200/COUNTIF(ТабПозиции[orderNum],ТабПозиции[[#This Row],[orderNum]])),0),"")</f>
        <v>27</v>
      </c>
      <c r="Q795">
        <f>IF(OR(ТабПозиции[[#This Row],[item]]="По штрихкоду",ТабПозиции[[#This Row],[item]]="Посылка"),ТабПозиции[[#This Row],[deliverySumm]]+ТабПозиции[[#This Row],[deliveryPost]],SUM(N795:P795))</f>
        <v>205</v>
      </c>
      <c r="R795" s="41">
        <v>205</v>
      </c>
      <c r="S795" s="46">
        <f>ТабПозиции[[#This Row],[totalSumm]]-ТабПозиции[[#This Row],[payment]]</f>
        <v>0</v>
      </c>
      <c r="T795" s="18" t="s">
        <v>970</v>
      </c>
      <c r="U795" s="40" t="s">
        <v>545</v>
      </c>
      <c r="V795" s="40" t="s">
        <v>545</v>
      </c>
      <c r="W795" s="40" t="s">
        <v>545</v>
      </c>
      <c r="X795" s="3"/>
      <c r="Y795"/>
    </row>
    <row r="796" spans="1:25" hidden="1" x14ac:dyDescent="0.25">
      <c r="A796" s="10">
        <v>226</v>
      </c>
      <c r="B796" s="1">
        <f>IFERROR(VLOOKUP(ТабПозиции[[#This Row],[orderNum]],ТабЗаказы[#Data],MATCH(B$7,ТабЗаказы[#Headers],0),0),"")</f>
        <v>45530</v>
      </c>
      <c r="C796" t="str">
        <f>MONTH(ТабПозиции[[#This Row],[date]])&amp;"/"&amp;YEAR(ТабПозиции[[#This Row],[date]])</f>
        <v>8/2024</v>
      </c>
      <c r="D796" s="1" t="str">
        <f>IFERROR(VLOOKUP(ТабПозиции[[#This Row],[orderNum]],ТабЗаказы[#Data],MATCH(D$7,ТабЗаказы[#Headers],0),0),"")</f>
        <v/>
      </c>
      <c r="E796" s="1" t="str">
        <f>IFERROR(VLOOKUP(ТабПозиции[[#This Row],[orderNum]],ТабЗаказы[#Data],MATCH(E$7,ТабЗаказы[#Headers],0),0),"")</f>
        <v/>
      </c>
      <c r="F796" s="16" t="s">
        <v>986</v>
      </c>
      <c r="G796" s="40" t="s">
        <v>545</v>
      </c>
      <c r="I796" s="18">
        <v>45532</v>
      </c>
      <c r="J796" s="10">
        <v>1</v>
      </c>
      <c r="K796" s="10">
        <v>493</v>
      </c>
      <c r="L796">
        <v>493</v>
      </c>
      <c r="M796" s="10">
        <v>519</v>
      </c>
      <c r="N796">
        <f t="shared" si="13"/>
        <v>519</v>
      </c>
      <c r="P7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Row],[orderNum]],ТабПозиции[orderSumm])&gt;1500),ABS(N796*VLOOKUP(ТабПозиции[[#This Row],[orderNum]],ТабЗаказы[#Data],MATCH("Percent",ТабЗаказы[#Headers],0),0))/100,200/COUNTIF(ТабПозиции[orderNum],ТабПозиции[[#This Row],[orderNum]])),0),"")</f>
        <v>78</v>
      </c>
      <c r="Q796">
        <f>IF(OR(ТабПозиции[[#This Row],[item]]="По штрихкоду",ТабПозиции[[#This Row],[item]]="Посылка"),ТабПозиции[[#This Row],[deliverySumm]]+ТабПозиции[[#This Row],[deliveryPost]],SUM(N796:P796))</f>
        <v>597</v>
      </c>
      <c r="R796" s="41">
        <v>597</v>
      </c>
      <c r="S796" s="46">
        <f>ТабПозиции[[#This Row],[totalSumm]]-ТабПозиции[[#This Row],[payment]]</f>
        <v>0</v>
      </c>
      <c r="T796" s="18" t="s">
        <v>970</v>
      </c>
      <c r="U796" s="40" t="s">
        <v>545</v>
      </c>
      <c r="V796" s="40" t="s">
        <v>545</v>
      </c>
      <c r="W796" s="40" t="s">
        <v>545</v>
      </c>
      <c r="X796" s="3"/>
      <c r="Y796"/>
    </row>
    <row r="797" spans="1:25" hidden="1" x14ac:dyDescent="0.25">
      <c r="A797" s="10">
        <v>227</v>
      </c>
      <c r="B797" s="1">
        <f>IFERROR(VLOOKUP(ТабПозиции[[#This Row],[orderNum]],ТабЗаказы[#Data],MATCH(B$7,ТабЗаказы[#Headers],0),0),"")</f>
        <v>45531</v>
      </c>
      <c r="C797" t="str">
        <f>MONTH(ТабПозиции[[#This Row],[date]])&amp;"/"&amp;YEAR(ТабПозиции[[#This Row],[date]])</f>
        <v>8/2024</v>
      </c>
      <c r="D797" s="1" t="str">
        <f>IFERROR(VLOOKUP(ТабПозиции[[#This Row],[orderNum]],ТабЗаказы[#Data],MATCH(D$7,ТабЗаказы[#Headers],0),0),"")</f>
        <v/>
      </c>
      <c r="E797" s="1" t="str">
        <f>IFERROR(VLOOKUP(ТабПозиции[[#This Row],[orderNum]],ТабЗаказы[#Data],MATCH(E$7,ТабЗаказы[#Headers],0),0),"")</f>
        <v/>
      </c>
      <c r="F797" s="10" t="s">
        <v>820</v>
      </c>
      <c r="G797" s="40" t="s">
        <v>545</v>
      </c>
      <c r="H797" s="12" t="s">
        <v>1258</v>
      </c>
      <c r="I797" s="18">
        <v>45535</v>
      </c>
      <c r="J797" s="10">
        <v>1</v>
      </c>
      <c r="K797" s="10">
        <v>19000</v>
      </c>
      <c r="L797">
        <v>19000</v>
      </c>
      <c r="M797" s="10">
        <v>19000</v>
      </c>
      <c r="N797">
        <f t="shared" si="13"/>
        <v>19000</v>
      </c>
      <c r="P7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Row],[orderNum]],ТабПозиции[orderSumm])&gt;1500),ABS(N797*VLOOKUP(ТабПозиции[[#This Row],[orderNum]],ТабЗаказы[#Data],MATCH("Percent",ТабЗаказы[#Headers],0),0))/100,200/COUNTIF(ТабПозиции[orderNum],ТабПозиции[[#This Row],[orderNum]])),0),"")</f>
        <v>1900</v>
      </c>
      <c r="Q797">
        <f>IF(OR(ТабПозиции[[#This Row],[item]]="По штрихкоду",ТабПозиции[[#This Row],[item]]="Посылка"),ТабПозиции[[#This Row],[deliverySumm]]+ТабПозиции[[#This Row],[deliveryPost]],SUM(N797:P797))</f>
        <v>1900</v>
      </c>
      <c r="R797" s="41">
        <v>1900</v>
      </c>
      <c r="S797" s="46">
        <f>ТабПозиции[[#This Row],[totalSumm]]-ТабПозиции[[#This Row],[payment]]</f>
        <v>0</v>
      </c>
      <c r="T797" s="18" t="s">
        <v>1021</v>
      </c>
      <c r="U797" s="40" t="s">
        <v>545</v>
      </c>
      <c r="V797" s="40" t="s">
        <v>545</v>
      </c>
      <c r="W797" s="40" t="s">
        <v>545</v>
      </c>
      <c r="X797" s="3"/>
      <c r="Y797"/>
    </row>
    <row r="798" spans="1:25" hidden="1" x14ac:dyDescent="0.25">
      <c r="A798" s="10">
        <v>191</v>
      </c>
      <c r="B798" s="1">
        <f>IFERROR(VLOOKUP(ТабПозиции[[#This Row],[orderNum]],ТабЗаказы[#Data],MATCH(B$7,ТабЗаказы[#Headers],0),0),"")</f>
        <v>45523</v>
      </c>
      <c r="C798" t="str">
        <f>MONTH(ТабПозиции[[#This Row],[date]])&amp;"/"&amp;YEAR(ТабПозиции[[#This Row],[date]])</f>
        <v>8/2024</v>
      </c>
      <c r="D798" s="1" t="str">
        <f>IFERROR(VLOOKUP(ТабПозиции[[#This Row],[orderNum]],ТабЗаказы[#Data],MATCH(D$7,ТабЗаказы[#Headers],0),0),"")</f>
        <v/>
      </c>
      <c r="E798" s="1" t="str">
        <f>IFERROR(VLOOKUP(ТабПозиции[[#This Row],[orderNum]],ТабЗаказы[#Data],MATCH(E$7,ТабЗаказы[#Headers],0),0),"")</f>
        <v/>
      </c>
      <c r="F798" s="10" t="s">
        <v>820</v>
      </c>
      <c r="G798" s="40" t="s">
        <v>545</v>
      </c>
      <c r="H798" s="12" t="s">
        <v>1259</v>
      </c>
      <c r="I798" s="18">
        <v>45532</v>
      </c>
      <c r="J798" s="10">
        <v>1</v>
      </c>
      <c r="K798" s="10">
        <v>10000</v>
      </c>
      <c r="L798">
        <v>10000</v>
      </c>
      <c r="M798" s="10">
        <v>10000</v>
      </c>
      <c r="N798">
        <f t="shared" ref="N798:N859" si="14">M798*J798</f>
        <v>10000</v>
      </c>
      <c r="O798" s="10">
        <v>859</v>
      </c>
      <c r="P7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Row],[orderNum]],ТабПозиции[orderSumm])&gt;1500),ABS(N798*VLOOKUP(ТабПозиции[[#This Row],[orderNum]],ТабЗаказы[#Data],MATCH("Percent",ТабЗаказы[#Headers],0),0))/100,200/COUNTIF(ТабПозиции[orderNum],ТабПозиции[[#This Row],[orderNum]])),0),"")</f>
        <v>1000</v>
      </c>
      <c r="Q798">
        <f>IF(OR(ТабПозиции[[#This Row],[item]]="По штрихкоду",ТабПозиции[[#This Row],[item]]="Посылка"),ТабПозиции[[#This Row],[deliverySumm]]+ТабПозиции[[#This Row],[deliveryPost]],SUM(N798:P798))</f>
        <v>1859</v>
      </c>
      <c r="R798" s="41">
        <v>1859</v>
      </c>
      <c r="S798" s="46">
        <f>ТабПозиции[[#This Row],[totalSumm]]-ТабПозиции[[#This Row],[payment]]</f>
        <v>0</v>
      </c>
      <c r="T798" s="18" t="s">
        <v>1021</v>
      </c>
      <c r="U798" s="40" t="s">
        <v>545</v>
      </c>
      <c r="V798" s="40" t="s">
        <v>545</v>
      </c>
      <c r="W798" s="40" t="s">
        <v>545</v>
      </c>
      <c r="X798" s="3"/>
      <c r="Y798"/>
    </row>
    <row r="799" spans="1:25" hidden="1" x14ac:dyDescent="0.25">
      <c r="A799" s="10">
        <v>197</v>
      </c>
      <c r="B799" s="1">
        <f>IFERROR(VLOOKUP(ТабПозиции[[#This Row],[orderNum]],ТабЗаказы[#Data],MATCH(B$7,ТабЗаказы[#Headers],0),0),"")</f>
        <v>45532</v>
      </c>
      <c r="C799" t="str">
        <f>MONTH(ТабПозиции[[#This Row],[date]])&amp;"/"&amp;YEAR(ТабПозиции[[#This Row],[date]])</f>
        <v>8/2024</v>
      </c>
      <c r="D799" s="1" t="str">
        <f>IFERROR(VLOOKUP(ТабПозиции[[#This Row],[orderNum]],ТабЗаказы[#Data],MATCH(D$7,ТабЗаказы[#Headers],0),0),"")</f>
        <v/>
      </c>
      <c r="E799" s="1" t="str">
        <f>IFERROR(VLOOKUP(ТабПозиции[[#This Row],[orderNum]],ТабЗаказы[#Data],MATCH(E$7,ТабЗаказы[#Headers],0),0),"")</f>
        <v/>
      </c>
      <c r="F799" s="16" t="s">
        <v>1260</v>
      </c>
      <c r="G799" s="40" t="s">
        <v>545</v>
      </c>
      <c r="I799" s="18">
        <v>45535</v>
      </c>
      <c r="J799" s="10">
        <v>1</v>
      </c>
      <c r="K799" s="10">
        <v>117</v>
      </c>
      <c r="L799">
        <v>117</v>
      </c>
      <c r="M799" s="10">
        <v>124</v>
      </c>
      <c r="N799">
        <f t="shared" si="14"/>
        <v>124</v>
      </c>
      <c r="P7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Row],[orderNum]],ТабПозиции[orderSumm])&gt;1500),ABS(N799*VLOOKUP(ТабПозиции[[#This Row],[orderNum]],ТабЗаказы[#Data],MATCH("Percent",ТабЗаказы[#Headers],0),0))/100,200/COUNTIF(ТабПозиции[orderNum],ТабПозиции[[#This Row],[orderNum]])),0),"")</f>
        <v>33</v>
      </c>
      <c r="Q799">
        <f>IF(OR(ТабПозиции[[#This Row],[item]]="По штрихкоду",ТабПозиции[[#This Row],[item]]="Посылка"),ТабПозиции[[#This Row],[deliverySumm]]+ТабПозиции[[#This Row],[deliveryPost]],SUM(N799:P799))</f>
        <v>157</v>
      </c>
      <c r="R799" s="41">
        <v>157</v>
      </c>
      <c r="S799" s="46">
        <f>ТабПозиции[[#This Row],[totalSumm]]-ТабПозиции[[#This Row],[payment]]</f>
        <v>0</v>
      </c>
      <c r="T799" s="18" t="s">
        <v>970</v>
      </c>
      <c r="U799" s="40" t="s">
        <v>545</v>
      </c>
      <c r="V799" s="40" t="s">
        <v>545</v>
      </c>
      <c r="W799" s="40" t="s">
        <v>545</v>
      </c>
      <c r="X799" s="3"/>
      <c r="Y799"/>
    </row>
    <row r="800" spans="1:25" hidden="1" x14ac:dyDescent="0.25">
      <c r="A800" s="10">
        <v>197</v>
      </c>
      <c r="B800" s="1">
        <f>IFERROR(VLOOKUP(ТабПозиции[[#This Row],[orderNum]],ТабЗаказы[#Data],MATCH(B$7,ТабЗаказы[#Headers],0),0),"")</f>
        <v>45532</v>
      </c>
      <c r="C800" t="str">
        <f>MONTH(ТабПозиции[[#This Row],[date]])&amp;"/"&amp;YEAR(ТабПозиции[[#This Row],[date]])</f>
        <v>8/2024</v>
      </c>
      <c r="D800" s="1" t="str">
        <f>IFERROR(VLOOKUP(ТабПозиции[[#This Row],[orderNum]],ТабЗаказы[#Data],MATCH(D$7,ТабЗаказы[#Headers],0),0),"")</f>
        <v/>
      </c>
      <c r="E800" s="1" t="str">
        <f>IFERROR(VLOOKUP(ТабПозиции[[#This Row],[orderNum]],ТабЗаказы[#Data],MATCH(E$7,ТабЗаказы[#Headers],0),0),"")</f>
        <v/>
      </c>
      <c r="F800" s="16" t="s">
        <v>1261</v>
      </c>
      <c r="G800" s="40" t="s">
        <v>545</v>
      </c>
      <c r="I800" s="18">
        <v>45536</v>
      </c>
      <c r="J800" s="10">
        <v>1</v>
      </c>
      <c r="K800" s="10">
        <v>135</v>
      </c>
      <c r="L800">
        <v>135</v>
      </c>
      <c r="M800" s="10">
        <v>143</v>
      </c>
      <c r="N800">
        <f t="shared" si="14"/>
        <v>143</v>
      </c>
      <c r="P8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Row],[orderNum]],ТабПозиции[orderSumm])&gt;1500),ABS(N800*VLOOKUP(ТабПозиции[[#This Row],[orderNum]],ТабЗаказы[#Data],MATCH("Percent",ТабЗаказы[#Headers],0),0))/100,200/COUNTIF(ТабПозиции[orderNum],ТабПозиции[[#This Row],[orderNum]])),0),"")</f>
        <v>33</v>
      </c>
      <c r="Q800">
        <f>IF(OR(ТабПозиции[[#This Row],[item]]="По штрихкоду",ТабПозиции[[#This Row],[item]]="Посылка"),ТабПозиции[[#This Row],[deliverySumm]]+ТабПозиции[[#This Row],[deliveryPost]],SUM(N800:P800))</f>
        <v>176</v>
      </c>
      <c r="R800" s="41">
        <v>176</v>
      </c>
      <c r="S800" s="46">
        <f>ТабПозиции[[#This Row],[totalSumm]]-ТабПозиции[[#This Row],[payment]]</f>
        <v>0</v>
      </c>
      <c r="T800" s="18" t="s">
        <v>970</v>
      </c>
      <c r="U800" s="40" t="s">
        <v>545</v>
      </c>
      <c r="V800" s="40" t="s">
        <v>545</v>
      </c>
      <c r="W800" s="40" t="s">
        <v>545</v>
      </c>
      <c r="X800" s="3"/>
      <c r="Y800"/>
    </row>
    <row r="801" spans="1:25" hidden="1" x14ac:dyDescent="0.25">
      <c r="A801" s="10">
        <v>197</v>
      </c>
      <c r="B801" s="1">
        <f>IFERROR(VLOOKUP(ТабПозиции[[#This Row],[orderNum]],ТабЗаказы[#Data],MATCH(B$7,ТабЗаказы[#Headers],0),0),"")</f>
        <v>45532</v>
      </c>
      <c r="C801" t="str">
        <f>MONTH(ТабПозиции[[#This Row],[date]])&amp;"/"&amp;YEAR(ТабПозиции[[#This Row],[date]])</f>
        <v>8/2024</v>
      </c>
      <c r="D801" s="1" t="str">
        <f>IFERROR(VLOOKUP(ТабПозиции[[#This Row],[orderNum]],ТабЗаказы[#Data],MATCH(D$7,ТабЗаказы[#Headers],0),0),"")</f>
        <v/>
      </c>
      <c r="E801" s="1" t="str">
        <f>IFERROR(VLOOKUP(ТабПозиции[[#This Row],[orderNum]],ТабЗаказы[#Data],MATCH(E$7,ТабЗаказы[#Headers],0),0),"")</f>
        <v/>
      </c>
      <c r="F801" s="16" t="s">
        <v>1262</v>
      </c>
      <c r="G801" s="40" t="s">
        <v>545</v>
      </c>
      <c r="I801" s="18">
        <v>45535</v>
      </c>
      <c r="J801" s="10">
        <v>1</v>
      </c>
      <c r="K801" s="10">
        <v>122</v>
      </c>
      <c r="L801">
        <v>122</v>
      </c>
      <c r="M801" s="10">
        <v>129</v>
      </c>
      <c r="N801">
        <f t="shared" si="14"/>
        <v>129</v>
      </c>
      <c r="P8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Row],[orderNum]],ТабПозиции[orderSumm])&gt;1500),ABS(N801*VLOOKUP(ТабПозиции[[#This Row],[orderNum]],ТабЗаказы[#Data],MATCH("Percent",ТабЗаказы[#Headers],0),0))/100,200/COUNTIF(ТабПозиции[orderNum],ТабПозиции[[#This Row],[orderNum]])),0),"")</f>
        <v>33</v>
      </c>
      <c r="Q801">
        <f>IF(OR(ТабПозиции[[#This Row],[item]]="По штрихкоду",ТабПозиции[[#This Row],[item]]="Посылка"),ТабПозиции[[#This Row],[deliverySumm]]+ТабПозиции[[#This Row],[deliveryPost]],SUM(N801:P801))</f>
        <v>162</v>
      </c>
      <c r="R801" s="41">
        <v>162</v>
      </c>
      <c r="S801" s="46">
        <f>ТабПозиции[[#This Row],[totalSumm]]-ТабПозиции[[#This Row],[payment]]</f>
        <v>0</v>
      </c>
      <c r="T801" s="18" t="s">
        <v>970</v>
      </c>
      <c r="U801" s="40" t="s">
        <v>545</v>
      </c>
      <c r="V801" s="40" t="s">
        <v>545</v>
      </c>
      <c r="W801" s="40" t="s">
        <v>545</v>
      </c>
      <c r="X801" s="3"/>
      <c r="Y801"/>
    </row>
    <row r="802" spans="1:25" hidden="1" x14ac:dyDescent="0.25">
      <c r="A802" s="10">
        <v>197</v>
      </c>
      <c r="B802" s="1">
        <f>IFERROR(VLOOKUP(ТабПозиции[[#This Row],[orderNum]],ТабЗаказы[#Data],MATCH(B$7,ТабЗаказы[#Headers],0),0),"")</f>
        <v>45532</v>
      </c>
      <c r="C802" t="str">
        <f>MONTH(ТабПозиции[[#This Row],[date]])&amp;"/"&amp;YEAR(ТабПозиции[[#This Row],[date]])</f>
        <v>8/2024</v>
      </c>
      <c r="D802" s="1" t="str">
        <f>IFERROR(VLOOKUP(ТабПозиции[[#This Row],[orderNum]],ТабЗаказы[#Data],MATCH(D$7,ТабЗаказы[#Headers],0),0),"")</f>
        <v/>
      </c>
      <c r="E802" s="1" t="str">
        <f>IFERROR(VLOOKUP(ТабПозиции[[#This Row],[orderNum]],ТабЗаказы[#Data],MATCH(E$7,ТабЗаказы[#Headers],0),0),"")</f>
        <v/>
      </c>
      <c r="F802" s="16" t="s">
        <v>1263</v>
      </c>
      <c r="G802" s="40" t="s">
        <v>545</v>
      </c>
      <c r="I802" s="18">
        <v>45535</v>
      </c>
      <c r="J802" s="10">
        <v>1</v>
      </c>
      <c r="K802" s="10">
        <v>128</v>
      </c>
      <c r="L802">
        <v>128</v>
      </c>
      <c r="M802" s="10">
        <v>135</v>
      </c>
      <c r="N802">
        <f t="shared" si="14"/>
        <v>135</v>
      </c>
      <c r="P8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Row],[orderNum]],ТабПозиции[orderSumm])&gt;1500),ABS(N802*VLOOKUP(ТабПозиции[[#This Row],[orderNum]],ТабЗаказы[#Data],MATCH("Percent",ТабЗаказы[#Headers],0),0))/100,200/COUNTIF(ТабПозиции[orderNum],ТабПозиции[[#This Row],[orderNum]])),0),"")</f>
        <v>33</v>
      </c>
      <c r="Q802">
        <f>IF(OR(ТабПозиции[[#This Row],[item]]="По штрихкоду",ТабПозиции[[#This Row],[item]]="Посылка"),ТабПозиции[[#This Row],[deliverySumm]]+ТабПозиции[[#This Row],[deliveryPost]],SUM(N802:P802))</f>
        <v>168</v>
      </c>
      <c r="R802" s="41">
        <v>168</v>
      </c>
      <c r="S802" s="46">
        <f>ТабПозиции[[#This Row],[totalSumm]]-ТабПозиции[[#This Row],[payment]]</f>
        <v>0</v>
      </c>
      <c r="T802" s="18" t="s">
        <v>970</v>
      </c>
      <c r="U802" s="40" t="s">
        <v>545</v>
      </c>
      <c r="V802" s="40" t="s">
        <v>545</v>
      </c>
      <c r="W802" s="40" t="s">
        <v>545</v>
      </c>
      <c r="X802" s="3"/>
      <c r="Y802"/>
    </row>
    <row r="803" spans="1:25" hidden="1" x14ac:dyDescent="0.25">
      <c r="A803" s="10">
        <v>197</v>
      </c>
      <c r="B803" s="1">
        <f>IFERROR(VLOOKUP(ТабПозиции[[#This Row],[orderNum]],ТабЗаказы[#Data],MATCH(B$7,ТабЗаказы[#Headers],0),0),"")</f>
        <v>45532</v>
      </c>
      <c r="C803" t="str">
        <f>MONTH(ТабПозиции[[#This Row],[date]])&amp;"/"&amp;YEAR(ТабПозиции[[#This Row],[date]])</f>
        <v>8/2024</v>
      </c>
      <c r="D803" s="1" t="str">
        <f>IFERROR(VLOOKUP(ТабПозиции[[#This Row],[orderNum]],ТабЗаказы[#Data],MATCH(D$7,ТабЗаказы[#Headers],0),0),"")</f>
        <v/>
      </c>
      <c r="E803" s="1" t="str">
        <f>IFERROR(VLOOKUP(ТабПозиции[[#This Row],[orderNum]],ТабЗаказы[#Data],MATCH(E$7,ТабЗаказы[#Headers],0),0),"")</f>
        <v/>
      </c>
      <c r="F803" s="16" t="s">
        <v>1264</v>
      </c>
      <c r="G803" s="40" t="s">
        <v>545</v>
      </c>
      <c r="I803" s="18">
        <v>45539</v>
      </c>
      <c r="J803" s="10">
        <v>1</v>
      </c>
      <c r="K803" s="10">
        <v>140</v>
      </c>
      <c r="L803">
        <v>140</v>
      </c>
      <c r="M803" s="10">
        <v>148</v>
      </c>
      <c r="N803">
        <f t="shared" si="14"/>
        <v>148</v>
      </c>
      <c r="P8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Row],[orderNum]],ТабПозиции[orderSumm])&gt;1500),ABS(N803*VLOOKUP(ТабПозиции[[#This Row],[orderNum]],ТабЗаказы[#Data],MATCH("Percent",ТабЗаказы[#Headers],0),0))/100,200/COUNTIF(ТабПозиции[orderNum],ТабПозиции[[#This Row],[orderNum]])),0),"")</f>
        <v>33</v>
      </c>
      <c r="Q803">
        <f>IF(OR(ТабПозиции[[#This Row],[item]]="По штрихкоду",ТабПозиции[[#This Row],[item]]="Посылка"),ТабПозиции[[#This Row],[deliverySumm]]+ТабПозиции[[#This Row],[deliveryPost]],SUM(N803:P803))</f>
        <v>181</v>
      </c>
      <c r="R803" s="41">
        <v>181</v>
      </c>
      <c r="S803" s="46">
        <f>ТабПозиции[[#This Row],[totalSumm]]-ТабПозиции[[#This Row],[payment]]</f>
        <v>0</v>
      </c>
      <c r="T803" s="18" t="s">
        <v>970</v>
      </c>
      <c r="U803" s="40" t="s">
        <v>545</v>
      </c>
      <c r="V803" s="40" t="s">
        <v>545</v>
      </c>
      <c r="W803" s="40" t="s">
        <v>545</v>
      </c>
      <c r="X803" s="3"/>
      <c r="Y803"/>
    </row>
    <row r="804" spans="1:25" hidden="1" x14ac:dyDescent="0.25">
      <c r="A804" s="10">
        <v>197</v>
      </c>
      <c r="B804" s="1">
        <f>IFERROR(VLOOKUP(ТабПозиции[[#This Row],[orderNum]],ТабЗаказы[#Data],MATCH(B$7,ТабЗаказы[#Headers],0),0),"")</f>
        <v>45532</v>
      </c>
      <c r="C804" t="str">
        <f>MONTH(ТабПозиции[[#This Row],[date]])&amp;"/"&amp;YEAR(ТабПозиции[[#This Row],[date]])</f>
        <v>8/2024</v>
      </c>
      <c r="D804" s="1" t="str">
        <f>IFERROR(VLOOKUP(ТабПозиции[[#This Row],[orderNum]],ТабЗаказы[#Data],MATCH(D$7,ТабЗаказы[#Headers],0),0),"")</f>
        <v/>
      </c>
      <c r="E804" s="1" t="str">
        <f>IFERROR(VLOOKUP(ТабПозиции[[#This Row],[orderNum]],ТабЗаказы[#Data],MATCH(E$7,ТабЗаказы[#Headers],0),0),"")</f>
        <v/>
      </c>
      <c r="F804" s="16" t="s">
        <v>1265</v>
      </c>
      <c r="G804" s="40" t="s">
        <v>545</v>
      </c>
      <c r="I804" s="18">
        <v>45535</v>
      </c>
      <c r="J804" s="10">
        <v>1</v>
      </c>
      <c r="K804" s="10">
        <v>128</v>
      </c>
      <c r="L804">
        <v>128</v>
      </c>
      <c r="M804" s="10">
        <v>135</v>
      </c>
      <c r="N804">
        <f t="shared" si="14"/>
        <v>135</v>
      </c>
      <c r="P8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Row],[orderNum]],ТабПозиции[orderSumm])&gt;1500),ABS(N804*VLOOKUP(ТабПозиции[[#This Row],[orderNum]],ТабЗаказы[#Data],MATCH("Percent",ТабЗаказы[#Headers],0),0))/100,200/COUNTIF(ТабПозиции[orderNum],ТабПозиции[[#This Row],[orderNum]])),0),"")</f>
        <v>33</v>
      </c>
      <c r="Q804">
        <f>IF(OR(ТабПозиции[[#This Row],[item]]="По штрихкоду",ТабПозиции[[#This Row],[item]]="Посылка"),ТабПозиции[[#This Row],[deliverySumm]]+ТабПозиции[[#This Row],[deliveryPost]],SUM(N804:P804))</f>
        <v>168</v>
      </c>
      <c r="R804" s="41">
        <v>168</v>
      </c>
      <c r="S804" s="46">
        <f>ТабПозиции[[#This Row],[totalSumm]]-ТабПозиции[[#This Row],[payment]]</f>
        <v>0</v>
      </c>
      <c r="T804" s="18" t="s">
        <v>970</v>
      </c>
      <c r="U804" s="40" t="s">
        <v>545</v>
      </c>
      <c r="V804" s="40" t="s">
        <v>545</v>
      </c>
      <c r="W804" s="40" t="s">
        <v>545</v>
      </c>
      <c r="X804" s="3"/>
      <c r="Y804"/>
    </row>
    <row r="805" spans="1:25" hidden="1" x14ac:dyDescent="0.25">
      <c r="A805" s="10">
        <v>222</v>
      </c>
      <c r="B805" s="1">
        <f>IFERROR(VLOOKUP(ТабПозиции[[#This Row],[orderNum]],ТабЗаказы[#Data],MATCH(B$7,ТабЗаказы[#Headers],0),0),"")</f>
        <v>45527</v>
      </c>
      <c r="C805" t="str">
        <f>MONTH(ТабПозиции[[#This Row],[date]])&amp;"/"&amp;YEAR(ТабПозиции[[#This Row],[date]])</f>
        <v>8/2024</v>
      </c>
      <c r="D805" s="1" t="str">
        <f>IFERROR(VLOOKUP(ТабПозиции[[#This Row],[orderNum]],ТабЗаказы[#Data],MATCH(D$7,ТабЗаказы[#Headers],0),0),"")</f>
        <v/>
      </c>
      <c r="E805" s="1" t="str">
        <f>IFERROR(VLOOKUP(ТабПозиции[[#This Row],[orderNum]],ТабЗаказы[#Data],MATCH(E$7,ТабЗаказы[#Headers],0),0),"")</f>
        <v/>
      </c>
      <c r="F805" s="16" t="s">
        <v>1266</v>
      </c>
      <c r="G805" s="40" t="s">
        <v>545</v>
      </c>
      <c r="I805" s="18">
        <v>45535</v>
      </c>
      <c r="J805" s="10">
        <v>1</v>
      </c>
      <c r="K805" s="10">
        <v>398</v>
      </c>
      <c r="L805">
        <v>398</v>
      </c>
      <c r="M805" s="10">
        <v>406</v>
      </c>
      <c r="N805">
        <f t="shared" si="14"/>
        <v>406</v>
      </c>
      <c r="P8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Row],[orderNum]],ТабПозиции[orderSumm])&gt;1500),ABS(N805*VLOOKUP(ТабПозиции[[#This Row],[orderNum]],ТабЗаказы[#Data],MATCH("Percent",ТабЗаказы[#Headers],0),0))/100,200/COUNTIF(ТабПозиции[orderNum],ТабПозиции[[#This Row],[orderNum]])),0),"")</f>
        <v>61</v>
      </c>
      <c r="Q805">
        <f>IF(OR(ТабПозиции[[#This Row],[item]]="По штрихкоду",ТабПозиции[[#This Row],[item]]="Посылка"),ТабПозиции[[#This Row],[deliverySumm]]+ТабПозиции[[#This Row],[deliveryPost]],SUM(N805:P805))</f>
        <v>467</v>
      </c>
      <c r="R805" s="41">
        <v>467</v>
      </c>
      <c r="S805" s="46">
        <f>ТабПозиции[[#This Row],[totalSumm]]-ТабПозиции[[#This Row],[payment]]</f>
        <v>0</v>
      </c>
      <c r="T805" s="18" t="s">
        <v>960</v>
      </c>
      <c r="U805" s="40" t="s">
        <v>545</v>
      </c>
      <c r="V805" s="40" t="s">
        <v>545</v>
      </c>
      <c r="W805" s="40" t="s">
        <v>545</v>
      </c>
      <c r="X805" s="3"/>
      <c r="Y805"/>
    </row>
    <row r="806" spans="1:25" hidden="1" x14ac:dyDescent="0.25">
      <c r="A806" s="10">
        <v>222</v>
      </c>
      <c r="B806" s="1">
        <f>IFERROR(VLOOKUP(ТабПозиции[[#This Row],[orderNum]],ТабЗаказы[#Data],MATCH(B$7,ТабЗаказы[#Headers],0),0),"")</f>
        <v>45527</v>
      </c>
      <c r="C806" t="str">
        <f>MONTH(ТабПозиции[[#This Row],[date]])&amp;"/"&amp;YEAR(ТабПозиции[[#This Row],[date]])</f>
        <v>8/2024</v>
      </c>
      <c r="D806" s="1" t="str">
        <f>IFERROR(VLOOKUP(ТабПозиции[[#This Row],[orderNum]],ТабЗаказы[#Data],MATCH(D$7,ТабЗаказы[#Headers],0),0),"")</f>
        <v/>
      </c>
      <c r="E806" s="1" t="str">
        <f>IFERROR(VLOOKUP(ТабПозиции[[#This Row],[orderNum]],ТабЗаказы[#Data],MATCH(E$7,ТабЗаказы[#Headers],0),0),"")</f>
        <v/>
      </c>
      <c r="F806" s="16" t="s">
        <v>1267</v>
      </c>
      <c r="G806" s="40" t="s">
        <v>545</v>
      </c>
      <c r="I806" s="18">
        <v>45535</v>
      </c>
      <c r="J806" s="10">
        <v>1</v>
      </c>
      <c r="K806" s="10">
        <v>147</v>
      </c>
      <c r="L806">
        <v>147</v>
      </c>
      <c r="M806" s="10">
        <v>150</v>
      </c>
      <c r="N806">
        <f t="shared" si="14"/>
        <v>150</v>
      </c>
      <c r="P8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Row],[orderNum]],ТабПозиции[orderSumm])&gt;1500),ABS(N806*VLOOKUP(ТабПозиции[[#This Row],[orderNum]],ТабЗаказы[#Data],MATCH("Percent",ТабЗаказы[#Headers],0),0))/100,200/COUNTIF(ТабПозиции[orderNum],ТабПозиции[[#This Row],[orderNum]])),0),"")</f>
        <v>23</v>
      </c>
      <c r="Q806">
        <f>IF(OR(ТабПозиции[[#This Row],[item]]="По штрихкоду",ТабПозиции[[#This Row],[item]]="Посылка"),ТабПозиции[[#This Row],[deliverySumm]]+ТабПозиции[[#This Row],[deliveryPost]],SUM(N806:P806))</f>
        <v>173</v>
      </c>
      <c r="R806" s="41">
        <v>173</v>
      </c>
      <c r="S806" s="46">
        <f>ТабПозиции[[#This Row],[totalSumm]]-ТабПозиции[[#This Row],[payment]]</f>
        <v>0</v>
      </c>
      <c r="T806" s="18" t="s">
        <v>960</v>
      </c>
      <c r="U806" s="40" t="s">
        <v>545</v>
      </c>
      <c r="V806" s="40" t="s">
        <v>545</v>
      </c>
      <c r="W806" s="40" t="s">
        <v>545</v>
      </c>
      <c r="X806" s="3"/>
      <c r="Y806"/>
    </row>
    <row r="807" spans="1:25" hidden="1" x14ac:dyDescent="0.25">
      <c r="A807" s="10">
        <v>222</v>
      </c>
      <c r="B807" s="1">
        <f>IFERROR(VLOOKUP(ТабПозиции[[#This Row],[orderNum]],ТабЗаказы[#Data],MATCH(B$7,ТабЗаказы[#Headers],0),0),"")</f>
        <v>45527</v>
      </c>
      <c r="C807" t="str">
        <f>MONTH(ТабПозиции[[#This Row],[date]])&amp;"/"&amp;YEAR(ТабПозиции[[#This Row],[date]])</f>
        <v>8/2024</v>
      </c>
      <c r="D807" s="1" t="str">
        <f>IFERROR(VLOOKUP(ТабПозиции[[#This Row],[orderNum]],ТабЗаказы[#Data],MATCH(D$7,ТабЗаказы[#Headers],0),0),"")</f>
        <v/>
      </c>
      <c r="E807" s="1" t="str">
        <f>IFERROR(VLOOKUP(ТабПозиции[[#This Row],[orderNum]],ТабЗаказы[#Data],MATCH(E$7,ТабЗаказы[#Headers],0),0),"")</f>
        <v/>
      </c>
      <c r="F807" s="16" t="s">
        <v>1268</v>
      </c>
      <c r="G807" s="40" t="s">
        <v>545</v>
      </c>
      <c r="I807" s="18">
        <v>45541</v>
      </c>
      <c r="J807" s="10">
        <v>5</v>
      </c>
      <c r="K807" s="10">
        <v>661</v>
      </c>
      <c r="L807">
        <v>3305</v>
      </c>
      <c r="M807" s="10">
        <v>696</v>
      </c>
      <c r="N807">
        <f t="shared" si="14"/>
        <v>3480</v>
      </c>
      <c r="P8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Row],[orderNum]],ТабПозиции[orderSumm])&gt;1500),ABS(N807*VLOOKUP(ТабПозиции[[#This Row],[orderNum]],ТабЗаказы[#Data],MATCH("Percent",ТабЗаказы[#Headers],0),0))/100,200/COUNTIF(ТабПозиции[orderNum],ТабПозиции[[#This Row],[orderNum]])),0),"")</f>
        <v>522</v>
      </c>
      <c r="Q807">
        <f>IF(OR(ТабПозиции[[#This Row],[item]]="По штрихкоду",ТабПозиции[[#This Row],[item]]="Посылка"),ТабПозиции[[#This Row],[deliverySumm]]+ТабПозиции[[#This Row],[deliveryPost]],SUM(N807:P807))</f>
        <v>4002</v>
      </c>
      <c r="R807" s="41">
        <v>4002</v>
      </c>
      <c r="S807" s="46">
        <f>ТабПозиции[[#This Row],[totalSumm]]-ТабПозиции[[#This Row],[payment]]</f>
        <v>0</v>
      </c>
      <c r="T807" s="18" t="s">
        <v>970</v>
      </c>
      <c r="U807" s="40" t="s">
        <v>545</v>
      </c>
      <c r="V807" s="40" t="s">
        <v>545</v>
      </c>
      <c r="W807" s="40" t="s">
        <v>545</v>
      </c>
      <c r="X807" s="3"/>
      <c r="Y807"/>
    </row>
    <row r="808" spans="1:25" hidden="1" x14ac:dyDescent="0.25">
      <c r="A808" s="10">
        <v>222</v>
      </c>
      <c r="B808" s="1">
        <f>IFERROR(VLOOKUP(ТабПозиции[[#This Row],[orderNum]],ТабЗаказы[#Data],MATCH(B$7,ТабЗаказы[#Headers],0),0),"")</f>
        <v>45527</v>
      </c>
      <c r="C808" t="str">
        <f>MONTH(ТабПозиции[[#This Row],[date]])&amp;"/"&amp;YEAR(ТабПозиции[[#This Row],[date]])</f>
        <v>8/2024</v>
      </c>
      <c r="D808" s="1" t="str">
        <f>IFERROR(VLOOKUP(ТабПозиции[[#This Row],[orderNum]],ТабЗаказы[#Data],MATCH(D$7,ТабЗаказы[#Headers],0),0),"")</f>
        <v/>
      </c>
      <c r="E808" s="1" t="str">
        <f>IFERROR(VLOOKUP(ТабПозиции[[#This Row],[orderNum]],ТабЗаказы[#Data],MATCH(E$7,ТабЗаказы[#Headers],0),0),"")</f>
        <v/>
      </c>
      <c r="F808" s="16" t="s">
        <v>1269</v>
      </c>
      <c r="G808" s="40" t="s">
        <v>545</v>
      </c>
      <c r="I808" s="18">
        <v>45535</v>
      </c>
      <c r="J808" s="10">
        <v>1</v>
      </c>
      <c r="K808" s="10">
        <v>1476</v>
      </c>
      <c r="L808">
        <v>1476</v>
      </c>
      <c r="M808" s="10">
        <v>1583</v>
      </c>
      <c r="N808">
        <f t="shared" si="14"/>
        <v>1583</v>
      </c>
      <c r="P8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Row],[orderNum]],ТабПозиции[orderSumm])&gt;1500),ABS(N808*VLOOKUP(ТабПозиции[[#This Row],[orderNum]],ТабЗаказы[#Data],MATCH("Percent",ТабЗаказы[#Headers],0),0))/100,200/COUNTIF(ТабПозиции[orderNum],ТабПозиции[[#This Row],[orderNum]])),0),"")</f>
        <v>237</v>
      </c>
      <c r="Q808">
        <f>IF(OR(ТабПозиции[[#This Row],[item]]="По штрихкоду",ТабПозиции[[#This Row],[item]]="Посылка"),ТабПозиции[[#This Row],[deliverySumm]]+ТабПозиции[[#This Row],[deliveryPost]],SUM(N808:P808))</f>
        <v>1820</v>
      </c>
      <c r="R808" s="41">
        <v>1820</v>
      </c>
      <c r="S808" s="46">
        <f>ТабПозиции[[#This Row],[totalSumm]]-ТабПозиции[[#This Row],[payment]]</f>
        <v>0</v>
      </c>
      <c r="T808" s="18" t="s">
        <v>960</v>
      </c>
      <c r="U808" s="40" t="s">
        <v>545</v>
      </c>
      <c r="V808" s="40" t="s">
        <v>545</v>
      </c>
      <c r="W808" s="40" t="s">
        <v>545</v>
      </c>
      <c r="X808" s="3"/>
      <c r="Y808"/>
    </row>
    <row r="809" spans="1:25" hidden="1" x14ac:dyDescent="0.25">
      <c r="A809" s="10">
        <v>228</v>
      </c>
      <c r="B809" s="1">
        <f>IFERROR(VLOOKUP(ТабПозиции[[#This Row],[orderNum]],ТабЗаказы[#Data],MATCH(B$7,ТабЗаказы[#Headers],0),0),"")</f>
        <v>45534</v>
      </c>
      <c r="C809" t="str">
        <f>MONTH(ТабПозиции[[#This Row],[date]])&amp;"/"&amp;YEAR(ТабПозиции[[#This Row],[date]])</f>
        <v>8/2024</v>
      </c>
      <c r="D809" s="1" t="str">
        <f>IFERROR(VLOOKUP(ТабПозиции[[#This Row],[orderNum]],ТабЗаказы[#Data],MATCH(D$7,ТабЗаказы[#Headers],0),0),"")</f>
        <v/>
      </c>
      <c r="E809" s="1" t="str">
        <f>IFERROR(VLOOKUP(ТабПозиции[[#This Row],[orderNum]],ТабЗаказы[#Data],MATCH(E$7,ТабЗаказы[#Headers],0),0),"")</f>
        <v/>
      </c>
      <c r="F809" s="10" t="s">
        <v>32</v>
      </c>
      <c r="G809" s="40" t="s">
        <v>545</v>
      </c>
      <c r="I809" s="18">
        <v>45534</v>
      </c>
      <c r="J809" s="10">
        <v>1</v>
      </c>
      <c r="K809" s="10">
        <v>2018</v>
      </c>
      <c r="L809">
        <v>2018</v>
      </c>
      <c r="M809" s="10">
        <v>2018</v>
      </c>
      <c r="N809">
        <f t="shared" si="14"/>
        <v>2018</v>
      </c>
      <c r="P8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Row],[orderNum]],ТабПозиции[orderSumm])&gt;1500),ABS(N809*VLOOKUP(ТабПозиции[[#This Row],[orderNum]],ТабЗаказы[#Data],MATCH("Percent",ТабЗаказы[#Headers],0),0))/100,200/COUNTIF(ТабПозиции[orderNum],ТабПозиции[[#This Row],[orderNum]])),0),"")</f>
        <v>303</v>
      </c>
      <c r="Q809">
        <f>IF(OR(ТабПозиции[[#This Row],[item]]="По штрихкоду",ТабПозиции[[#This Row],[item]]="Посылка"),ТабПозиции[[#This Row],[deliverySumm]]+ТабПозиции[[#This Row],[deliveryPost]],SUM(N809:P809))</f>
        <v>303</v>
      </c>
      <c r="R809" s="41">
        <v>303</v>
      </c>
      <c r="S809" s="46">
        <f>ТабПозиции[[#This Row],[totalSumm]]-ТабПозиции[[#This Row],[payment]]</f>
        <v>0</v>
      </c>
      <c r="T809" s="18" t="s">
        <v>960</v>
      </c>
      <c r="U809" s="40" t="s">
        <v>545</v>
      </c>
      <c r="V809" s="40" t="s">
        <v>545</v>
      </c>
      <c r="W809" s="40" t="s">
        <v>545</v>
      </c>
      <c r="X809" s="3"/>
      <c r="Y809"/>
    </row>
    <row r="810" spans="1:25" hidden="1" x14ac:dyDescent="0.25">
      <c r="A810" s="10">
        <v>229</v>
      </c>
      <c r="B810" s="1">
        <f>IFERROR(VLOOKUP(ТабПозиции[[#This Row],[orderNum]],ТабЗаказы[#Data],MATCH(B$7,ТабЗаказы[#Headers],0),0),"")</f>
        <v>45534</v>
      </c>
      <c r="C810" t="str">
        <f>MONTH(ТабПозиции[[#This Row],[date]])&amp;"/"&amp;YEAR(ТабПозиции[[#This Row],[date]])</f>
        <v>8/2024</v>
      </c>
      <c r="D810" s="1" t="str">
        <f>IFERROR(VLOOKUP(ТабПозиции[[#This Row],[orderNum]],ТабЗаказы[#Data],MATCH(D$7,ТабЗаказы[#Headers],0),0),"")</f>
        <v/>
      </c>
      <c r="E810" s="1" t="str">
        <f>IFERROR(VLOOKUP(ТабПозиции[[#This Row],[orderNum]],ТабЗаказы[#Data],MATCH(E$7,ТабЗаказы[#Headers],0),0),"")</f>
        <v/>
      </c>
      <c r="F810" s="10" t="s">
        <v>32</v>
      </c>
      <c r="G810" s="40" t="s">
        <v>545</v>
      </c>
      <c r="I810" s="18">
        <v>45534</v>
      </c>
      <c r="J810" s="10">
        <v>1</v>
      </c>
      <c r="K810" s="10">
        <v>2309</v>
      </c>
      <c r="L810">
        <v>2309</v>
      </c>
      <c r="M810" s="10">
        <v>2309</v>
      </c>
      <c r="N810">
        <f t="shared" si="14"/>
        <v>2309</v>
      </c>
      <c r="P8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Row],[orderNum]],ТабПозиции[orderSumm])&gt;1500),ABS(N810*VLOOKUP(ТабПозиции[[#This Row],[orderNum]],ТабЗаказы[#Data],MATCH("Percent",ТабЗаказы[#Headers],0),0))/100,200/COUNTIF(ТабПозиции[orderNum],ТабПозиции[[#This Row],[orderNum]])),0),"")</f>
        <v>346</v>
      </c>
      <c r="Q810">
        <f>IF(OR(ТабПозиции[[#This Row],[item]]="По штрихкоду",ТабПозиции[[#This Row],[item]]="Посылка"),ТабПозиции[[#This Row],[deliverySumm]]+ТабПозиции[[#This Row],[deliveryPost]],SUM(N810:P810))</f>
        <v>346</v>
      </c>
      <c r="R810" s="41">
        <v>346</v>
      </c>
      <c r="S810" s="46">
        <f>ТабПозиции[[#This Row],[totalSumm]]-ТабПозиции[[#This Row],[payment]]</f>
        <v>0</v>
      </c>
      <c r="T810" s="18" t="s">
        <v>960</v>
      </c>
      <c r="U810" s="40" t="s">
        <v>545</v>
      </c>
      <c r="V810" s="40" t="s">
        <v>545</v>
      </c>
      <c r="W810" s="40" t="s">
        <v>545</v>
      </c>
      <c r="X810" s="3"/>
      <c r="Y810"/>
    </row>
    <row r="811" spans="1:25" hidden="1" x14ac:dyDescent="0.25">
      <c r="A811" s="10">
        <v>230</v>
      </c>
      <c r="B811" s="1">
        <f>IFERROR(VLOOKUP(ТабПозиции[[#This Row],[orderNum]],ТабЗаказы[#Data],MATCH(B$7,ТабЗаказы[#Headers],0),0),"")</f>
        <v>45536</v>
      </c>
      <c r="C811" t="str">
        <f>MONTH(ТабПозиции[[#This Row],[date]])&amp;"/"&amp;YEAR(ТабПозиции[[#This Row],[date]])</f>
        <v>9/2024</v>
      </c>
      <c r="D811" s="1" t="str">
        <f>IFERROR(VLOOKUP(ТабПозиции[[#This Row],[orderNum]],ТабЗаказы[#Data],MATCH(D$7,ТабЗаказы[#Headers],0),0),"")</f>
        <v/>
      </c>
      <c r="E811" s="1" t="str">
        <f>IFERROR(VLOOKUP(ТабПозиции[[#This Row],[orderNum]],ТабЗаказы[#Data],MATCH(E$7,ТабЗаказы[#Headers],0),0),"")</f>
        <v/>
      </c>
      <c r="F811" s="16" t="s">
        <v>1272</v>
      </c>
      <c r="G811" s="40" t="s">
        <v>545</v>
      </c>
      <c r="I811" s="18">
        <v>45539</v>
      </c>
      <c r="J811" s="10">
        <v>1</v>
      </c>
      <c r="K811" s="10">
        <v>1022</v>
      </c>
      <c r="L811">
        <v>1022</v>
      </c>
      <c r="M811" s="10">
        <v>1132</v>
      </c>
      <c r="N811">
        <f t="shared" si="14"/>
        <v>1132</v>
      </c>
      <c r="P8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Row],[orderNum]],ТабПозиции[orderSumm])&gt;1500),ABS(N811*VLOOKUP(ТабПозиции[[#This Row],[orderNum]],ТабЗаказы[#Data],MATCH("Percent",ТабЗаказы[#Headers],0),0))/100,200/COUNTIF(ТабПозиции[orderNum],ТабПозиции[[#This Row],[orderNum]])),0),"")</f>
        <v>170</v>
      </c>
      <c r="Q811">
        <f>IF(OR(ТабПозиции[[#This Row],[item]]="По штрихкоду",ТабПозиции[[#This Row],[item]]="Посылка"),ТабПозиции[[#This Row],[deliverySumm]]+ТабПозиции[[#This Row],[deliveryPost]],SUM(N811:P811))</f>
        <v>1302</v>
      </c>
      <c r="R811" s="41">
        <v>1302</v>
      </c>
      <c r="S811" s="46">
        <f>ТабПозиции[[#This Row],[totalSumm]]-ТабПозиции[[#This Row],[payment]]</f>
        <v>0</v>
      </c>
      <c r="T811" s="18" t="s">
        <v>960</v>
      </c>
      <c r="U811" s="40" t="s">
        <v>545</v>
      </c>
      <c r="V811" s="40" t="s">
        <v>545</v>
      </c>
      <c r="W811" s="40" t="s">
        <v>545</v>
      </c>
      <c r="X811" s="3"/>
      <c r="Y811"/>
    </row>
    <row r="812" spans="1:25" hidden="1" x14ac:dyDescent="0.25">
      <c r="A812" s="10">
        <v>230</v>
      </c>
      <c r="B812" s="1">
        <f>IFERROR(VLOOKUP(ТабПозиции[[#This Row],[orderNum]],ТабЗаказы[#Data],MATCH(B$7,ТабЗаказы[#Headers],0),0),"")</f>
        <v>45536</v>
      </c>
      <c r="C812" t="str">
        <f>MONTH(ТабПозиции[[#This Row],[date]])&amp;"/"&amp;YEAR(ТабПозиции[[#This Row],[date]])</f>
        <v>9/2024</v>
      </c>
      <c r="D812" s="1" t="str">
        <f>IFERROR(VLOOKUP(ТабПозиции[[#This Row],[orderNum]],ТабЗаказы[#Data],MATCH(D$7,ТабЗаказы[#Headers],0),0),"")</f>
        <v/>
      </c>
      <c r="E812" s="1" t="str">
        <f>IFERROR(VLOOKUP(ТабПозиции[[#This Row],[orderNum]],ТабЗаказы[#Data],MATCH(E$7,ТабЗаказы[#Headers],0),0),"")</f>
        <v/>
      </c>
      <c r="F812" s="16" t="s">
        <v>1273</v>
      </c>
      <c r="G812" s="40" t="s">
        <v>545</v>
      </c>
      <c r="I812" s="18">
        <v>45543</v>
      </c>
      <c r="J812" s="10">
        <v>1</v>
      </c>
      <c r="K812" s="10">
        <v>355</v>
      </c>
      <c r="L812">
        <v>355</v>
      </c>
      <c r="M812" s="10">
        <v>362</v>
      </c>
      <c r="N812">
        <f t="shared" si="14"/>
        <v>362</v>
      </c>
      <c r="P8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Row],[orderNum]],ТабПозиции[orderSumm])&gt;1500),ABS(N812*VLOOKUP(ТабПозиции[[#This Row],[orderNum]],ТабЗаказы[#Data],MATCH("Percent",ТабЗаказы[#Headers],0),0))/100,200/COUNTIF(ТабПозиции[orderNum],ТабПозиции[[#This Row],[orderNum]])),0),"")</f>
        <v>54</v>
      </c>
      <c r="Q812">
        <f>IF(OR(ТабПозиции[[#This Row],[item]]="По штрихкоду",ТабПозиции[[#This Row],[item]]="Посылка"),ТабПозиции[[#This Row],[deliverySumm]]+ТабПозиции[[#This Row],[deliveryPost]],SUM(N812:P812))</f>
        <v>416</v>
      </c>
      <c r="R812" s="41">
        <v>416</v>
      </c>
      <c r="S812" s="46">
        <f>ТабПозиции[[#This Row],[totalSumm]]-ТабПозиции[[#This Row],[payment]]</f>
        <v>0</v>
      </c>
      <c r="T812" s="18" t="s">
        <v>960</v>
      </c>
      <c r="U812" s="40" t="s">
        <v>545</v>
      </c>
      <c r="V812" s="40" t="s">
        <v>545</v>
      </c>
      <c r="W812" s="40" t="s">
        <v>545</v>
      </c>
      <c r="X812" s="3"/>
      <c r="Y812"/>
    </row>
    <row r="813" spans="1:25" hidden="1" x14ac:dyDescent="0.25">
      <c r="A813" s="10">
        <v>230</v>
      </c>
      <c r="B813" s="1">
        <f>IFERROR(VLOOKUP(ТабПозиции[[#This Row],[orderNum]],ТабЗаказы[#Data],MATCH(B$7,ТабЗаказы[#Headers],0),0),"")</f>
        <v>45536</v>
      </c>
      <c r="C813" t="str">
        <f>MONTH(ТабПозиции[[#This Row],[date]])&amp;"/"&amp;YEAR(ТабПозиции[[#This Row],[date]])</f>
        <v>9/2024</v>
      </c>
      <c r="D813" s="1" t="str">
        <f>IFERROR(VLOOKUP(ТабПозиции[[#This Row],[orderNum]],ТабЗаказы[#Data],MATCH(D$7,ТабЗаказы[#Headers],0),0),"")</f>
        <v/>
      </c>
      <c r="E813" s="1" t="str">
        <f>IFERROR(VLOOKUP(ТабПозиции[[#This Row],[orderNum]],ТабЗаказы[#Data],MATCH(E$7,ТабЗаказы[#Headers],0),0),"")</f>
        <v/>
      </c>
      <c r="F813" s="16" t="s">
        <v>1274</v>
      </c>
      <c r="G813" s="40" t="s">
        <v>545</v>
      </c>
      <c r="I813" s="18">
        <v>45538</v>
      </c>
      <c r="J813" s="10">
        <v>1</v>
      </c>
      <c r="K813" s="10">
        <v>330</v>
      </c>
      <c r="L813">
        <v>330</v>
      </c>
      <c r="M813" s="10">
        <v>337</v>
      </c>
      <c r="N813">
        <f t="shared" si="14"/>
        <v>337</v>
      </c>
      <c r="P8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Row],[orderNum]],ТабПозиции[orderSumm])&gt;1500),ABS(N813*VLOOKUP(ТабПозиции[[#This Row],[orderNum]],ТабЗаказы[#Data],MATCH("Percent",ТабЗаказы[#Headers],0),0))/100,200/COUNTIF(ТабПозиции[orderNum],ТабПозиции[[#This Row],[orderNum]])),0),"")</f>
        <v>51</v>
      </c>
      <c r="Q813">
        <f>IF(OR(ТабПозиции[[#This Row],[item]]="По штрихкоду",ТабПозиции[[#This Row],[item]]="Посылка"),ТабПозиции[[#This Row],[deliverySumm]]+ТабПозиции[[#This Row],[deliveryPost]],SUM(N813:P813))</f>
        <v>388</v>
      </c>
      <c r="R813" s="41">
        <v>388</v>
      </c>
      <c r="S813" s="46">
        <f>ТабПозиции[[#This Row],[totalSumm]]-ТабПозиции[[#This Row],[payment]]</f>
        <v>0</v>
      </c>
      <c r="T813" s="18" t="s">
        <v>960</v>
      </c>
      <c r="U813" s="40" t="s">
        <v>545</v>
      </c>
      <c r="V813" s="40" t="s">
        <v>545</v>
      </c>
      <c r="W813" s="40" t="s">
        <v>545</v>
      </c>
      <c r="X813" s="3"/>
      <c r="Y813"/>
    </row>
    <row r="814" spans="1:25" hidden="1" x14ac:dyDescent="0.25">
      <c r="A814" s="10">
        <v>230</v>
      </c>
      <c r="B814" s="1">
        <f>IFERROR(VLOOKUP(ТабПозиции[[#This Row],[orderNum]],ТабЗаказы[#Data],MATCH(B$7,ТабЗаказы[#Headers],0),0),"")</f>
        <v>45536</v>
      </c>
      <c r="C814" t="str">
        <f>MONTH(ТабПозиции[[#This Row],[date]])&amp;"/"&amp;YEAR(ТабПозиции[[#This Row],[date]])</f>
        <v>9/2024</v>
      </c>
      <c r="D814" s="1" t="str">
        <f>IFERROR(VLOOKUP(ТабПозиции[[#This Row],[orderNum]],ТабЗаказы[#Data],MATCH(D$7,ТабЗаказы[#Headers],0),0),"")</f>
        <v/>
      </c>
      <c r="E814" s="1" t="str">
        <f>IFERROR(VLOOKUP(ТабПозиции[[#This Row],[orderNum]],ТабЗаказы[#Data],MATCH(E$7,ТабЗаказы[#Headers],0),0),"")</f>
        <v/>
      </c>
      <c r="F814" s="16" t="s">
        <v>1275</v>
      </c>
      <c r="G814" s="40" t="s">
        <v>545</v>
      </c>
      <c r="I814" s="18">
        <v>45538</v>
      </c>
      <c r="J814" s="10">
        <v>1</v>
      </c>
      <c r="K814" s="10">
        <v>1007</v>
      </c>
      <c r="L814">
        <v>1007</v>
      </c>
      <c r="M814" s="10">
        <v>1104</v>
      </c>
      <c r="N814">
        <f t="shared" si="14"/>
        <v>1104</v>
      </c>
      <c r="P8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Row],[orderNum]],ТабПозиции[orderSumm])&gt;1500),ABS(N814*VLOOKUP(ТабПозиции[[#This Row],[orderNum]],ТабЗаказы[#Data],MATCH("Percent",ТабЗаказы[#Headers],0),0))/100,200/COUNTIF(ТабПозиции[orderNum],ТабПозиции[[#This Row],[orderNum]])),0),"")</f>
        <v>166</v>
      </c>
      <c r="Q814">
        <f>IF(OR(ТабПозиции[[#This Row],[item]]="По штрихкоду",ТабПозиции[[#This Row],[item]]="Посылка"),ТабПозиции[[#This Row],[deliverySumm]]+ТабПозиции[[#This Row],[deliveryPost]],SUM(N814:P814))</f>
        <v>1270</v>
      </c>
      <c r="R814" s="41">
        <v>1270</v>
      </c>
      <c r="S814" s="46">
        <f>ТабПозиции[[#This Row],[totalSumm]]-ТабПозиции[[#This Row],[payment]]</f>
        <v>0</v>
      </c>
      <c r="T814" s="18" t="s">
        <v>960</v>
      </c>
      <c r="U814" s="40" t="s">
        <v>545</v>
      </c>
      <c r="V814" s="40" t="s">
        <v>545</v>
      </c>
      <c r="W814" s="40" t="s">
        <v>545</v>
      </c>
      <c r="X814" s="3"/>
      <c r="Y814"/>
    </row>
    <row r="815" spans="1:25" hidden="1" x14ac:dyDescent="0.25">
      <c r="A815" s="10">
        <v>231</v>
      </c>
      <c r="B815" s="1">
        <f>IFERROR(VLOOKUP(ТабПозиции[[#This Row],[orderNum]],ТабЗаказы[#Data],MATCH(B$7,ТабЗаказы[#Headers],0),0),"")</f>
        <v>45537</v>
      </c>
      <c r="C815" t="str">
        <f>MONTH(ТабПозиции[[#This Row],[date]])&amp;"/"&amp;YEAR(ТабПозиции[[#This Row],[date]])</f>
        <v>9/2024</v>
      </c>
      <c r="D815" s="1" t="str">
        <f>IFERROR(VLOOKUP(ТабПозиции[[#This Row],[orderNum]],ТабЗаказы[#Data],MATCH(D$7,ТабЗаказы[#Headers],0),0),"")</f>
        <v/>
      </c>
      <c r="E815" s="1" t="str">
        <f>IFERROR(VLOOKUP(ТабПозиции[[#This Row],[orderNum]],ТабЗаказы[#Data],MATCH(E$7,ТабЗаказы[#Headers],0),0),"")</f>
        <v/>
      </c>
      <c r="F815" s="16" t="s">
        <v>1277</v>
      </c>
      <c r="G815" s="40" t="s">
        <v>545</v>
      </c>
      <c r="I815" s="18">
        <v>45540</v>
      </c>
      <c r="J815" s="10">
        <v>1</v>
      </c>
      <c r="K815" s="10">
        <v>1282</v>
      </c>
      <c r="L815">
        <v>1282</v>
      </c>
      <c r="M815" s="10">
        <v>1391</v>
      </c>
      <c r="N815">
        <f t="shared" si="14"/>
        <v>1391</v>
      </c>
      <c r="P8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Row],[orderNum]],ТабПозиции[orderSumm])&gt;1500),ABS(N815*VLOOKUP(ТабПозиции[[#This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815">
        <f>IF(OR(ТабПозиции[[#This Row],[item]]="По штрихкоду",ТабПозиции[[#This Row],[item]]="Посылка"),ТабПозиции[[#This Row],[deliverySumm]]+ТабПозиции[[#This Row],[deliveryPost]],SUM(N815:P815))</f>
        <v>1591</v>
      </c>
      <c r="R815" s="41">
        <v>1591</v>
      </c>
      <c r="S815" s="46">
        <f>ТабПозиции[[#This Row],[totalSumm]]-ТабПозиции[[#This Row],[payment]]</f>
        <v>0</v>
      </c>
      <c r="T815" s="18" t="s">
        <v>960</v>
      </c>
      <c r="U815" s="40" t="s">
        <v>545</v>
      </c>
      <c r="V815" s="40" t="s">
        <v>545</v>
      </c>
      <c r="W815" s="40" t="s">
        <v>545</v>
      </c>
      <c r="X815" s="3"/>
      <c r="Y815"/>
    </row>
    <row r="816" spans="1:25" hidden="1" x14ac:dyDescent="0.25">
      <c r="A816" s="10">
        <v>233</v>
      </c>
      <c r="B816" s="1">
        <f>IFERROR(VLOOKUP(ТабПозиции[[#This Row],[orderNum]],ТабЗаказы[#Data],MATCH(B$7,ТабЗаказы[#Headers],0),0),"")</f>
        <v>45537</v>
      </c>
      <c r="C816" t="str">
        <f>MONTH(ТабПозиции[[#This Row],[date]])&amp;"/"&amp;YEAR(ТабПозиции[[#This Row],[date]])</f>
        <v>9/2024</v>
      </c>
      <c r="D816" s="1" t="str">
        <f>IFERROR(VLOOKUP(ТабПозиции[[#This Row],[orderNum]],ТабЗаказы[#Data],MATCH(D$7,ТабЗаказы[#Headers],0),0),"")</f>
        <v/>
      </c>
      <c r="E816" s="1" t="str">
        <f>IFERROR(VLOOKUP(ТабПозиции[[#This Row],[orderNum]],ТабЗаказы[#Data],MATCH(E$7,ТабЗаказы[#Headers],0),0),"")</f>
        <v/>
      </c>
      <c r="F816" s="16" t="s">
        <v>1279</v>
      </c>
      <c r="G816" s="40" t="s">
        <v>545</v>
      </c>
      <c r="I816" s="18">
        <v>45541</v>
      </c>
      <c r="J816" s="10">
        <v>1</v>
      </c>
      <c r="K816" s="10">
        <v>247</v>
      </c>
      <c r="L816">
        <v>247</v>
      </c>
      <c r="M816" s="10">
        <v>252</v>
      </c>
      <c r="N816">
        <f t="shared" si="14"/>
        <v>252</v>
      </c>
      <c r="P8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Row],[orderNum]],ТабПозиции[orderSumm])&gt;1500),ABS(N816*VLOOKUP(ТабПозиции[[#This Row],[orderNum]],ТабЗаказы[#Data],MATCH("Percent",ТабЗаказы[#Headers],0),0))/100,200/COUNTIF(ТабПозиции[orderNum],ТабПозиции[[#This Row],[orderNum]])),0),"")</f>
        <v>38</v>
      </c>
      <c r="Q816">
        <f>IF(OR(ТабПозиции[[#This Row],[item]]="По штрихкоду",ТабПозиции[[#This Row],[item]]="Посылка"),ТабПозиции[[#This Row],[deliverySumm]]+ТабПозиции[[#This Row],[deliveryPost]],SUM(N816:P816))</f>
        <v>290</v>
      </c>
      <c r="R816" s="41">
        <v>290</v>
      </c>
      <c r="S816" s="46">
        <f>ТабПозиции[[#This Row],[totalSumm]]-ТабПозиции[[#This Row],[payment]]</f>
        <v>0</v>
      </c>
      <c r="T816" s="18" t="s">
        <v>960</v>
      </c>
      <c r="U816" s="40" t="s">
        <v>545</v>
      </c>
      <c r="V816" s="40" t="s">
        <v>545</v>
      </c>
      <c r="W816" s="40" t="s">
        <v>545</v>
      </c>
      <c r="X816" s="3"/>
      <c r="Y816"/>
    </row>
    <row r="817" spans="1:25" hidden="1" x14ac:dyDescent="0.25">
      <c r="A817" s="10">
        <v>233</v>
      </c>
      <c r="B817" s="1">
        <f>IFERROR(VLOOKUP(ТабПозиции[[#This Row],[orderNum]],ТабЗаказы[#Data],MATCH(B$7,ТабЗаказы[#Headers],0),0),"")</f>
        <v>45537</v>
      </c>
      <c r="C817" t="str">
        <f>MONTH(ТабПозиции[[#This Row],[date]])&amp;"/"&amp;YEAR(ТабПозиции[[#This Row],[date]])</f>
        <v>9/2024</v>
      </c>
      <c r="D817" s="1" t="str">
        <f>IFERROR(VLOOKUP(ТабПозиции[[#This Row],[orderNum]],ТабЗаказы[#Data],MATCH(D$7,ТабЗаказы[#Headers],0),0),"")</f>
        <v/>
      </c>
      <c r="E817" s="1" t="str">
        <f>IFERROR(VLOOKUP(ТабПозиции[[#This Row],[orderNum]],ТабЗаказы[#Data],MATCH(E$7,ТабЗаказы[#Headers],0),0),"")</f>
        <v/>
      </c>
      <c r="F817" s="16" t="s">
        <v>1280</v>
      </c>
      <c r="G817" s="40" t="s">
        <v>545</v>
      </c>
      <c r="I817" s="18">
        <v>45539</v>
      </c>
      <c r="J817" s="10">
        <v>1</v>
      </c>
      <c r="K817" s="10">
        <v>242</v>
      </c>
      <c r="L817">
        <v>242</v>
      </c>
      <c r="M817" s="10">
        <v>255</v>
      </c>
      <c r="N817">
        <f t="shared" si="14"/>
        <v>255</v>
      </c>
      <c r="P8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Row],[orderNum]],ТабПозиции[orderSumm])&gt;1500),ABS(N817*VLOOKUP(ТабПозиции[[#This Row],[orderNum]],ТабЗаказы[#Data],MATCH("Percent",ТабЗаказы[#Headers],0),0))/100,200/COUNTIF(ТабПозиции[orderNum],ТабПозиции[[#This Row],[orderNum]])),0),"")</f>
        <v>38</v>
      </c>
      <c r="Q817">
        <f>IF(OR(ТабПозиции[[#This Row],[item]]="По штрихкоду",ТабПозиции[[#This Row],[item]]="Посылка"),ТабПозиции[[#This Row],[deliverySumm]]+ТабПозиции[[#This Row],[deliveryPost]],SUM(N817:P817))</f>
        <v>293</v>
      </c>
      <c r="R817" s="41">
        <v>293</v>
      </c>
      <c r="S817" s="46">
        <f>ТабПозиции[[#This Row],[totalSumm]]-ТабПозиции[[#This Row],[payment]]</f>
        <v>0</v>
      </c>
      <c r="T817" s="18" t="s">
        <v>970</v>
      </c>
      <c r="U817" s="40" t="s">
        <v>545</v>
      </c>
      <c r="V817" s="40" t="s">
        <v>545</v>
      </c>
      <c r="W817" s="40" t="s">
        <v>545</v>
      </c>
      <c r="X817" s="3"/>
      <c r="Y817"/>
    </row>
    <row r="818" spans="1:25" hidden="1" x14ac:dyDescent="0.25">
      <c r="A818" s="10">
        <v>233</v>
      </c>
      <c r="B818" s="1">
        <f>IFERROR(VLOOKUP(ТабПозиции[[#This Row],[orderNum]],ТабЗаказы[#Data],MATCH(B$7,ТабЗаказы[#Headers],0),0),"")</f>
        <v>45537</v>
      </c>
      <c r="C818" t="str">
        <f>MONTH(ТабПозиции[[#This Row],[date]])&amp;"/"&amp;YEAR(ТабПозиции[[#This Row],[date]])</f>
        <v>9/2024</v>
      </c>
      <c r="D818" s="1" t="str">
        <f>IFERROR(VLOOKUP(ТабПозиции[[#This Row],[orderNum]],ТабЗаказы[#Data],MATCH(D$7,ТабЗаказы[#Headers],0),0),"")</f>
        <v/>
      </c>
      <c r="E818" s="1" t="str">
        <f>IFERROR(VLOOKUP(ТабПозиции[[#This Row],[orderNum]],ТабЗаказы[#Data],MATCH(E$7,ТабЗаказы[#Headers],0),0),"")</f>
        <v/>
      </c>
      <c r="F818" s="16" t="s">
        <v>1281</v>
      </c>
      <c r="G818" s="40" t="s">
        <v>545</v>
      </c>
      <c r="I818" s="18">
        <v>45539</v>
      </c>
      <c r="J818" s="10">
        <v>1</v>
      </c>
      <c r="K818" s="10">
        <v>311</v>
      </c>
      <c r="L818">
        <v>311</v>
      </c>
      <c r="M818" s="10">
        <v>328</v>
      </c>
      <c r="N818">
        <f t="shared" si="14"/>
        <v>328</v>
      </c>
      <c r="P8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Row],[orderNum]],ТабПозиции[orderSumm])&gt;1500),ABS(N818*VLOOKUP(ТабПозиции[[#This Row],[orderNum]],ТабЗаказы[#Data],MATCH("Percent",ТабЗаказы[#Headers],0),0))/100,200/COUNTIF(ТабПозиции[orderNum],ТабПозиции[[#This Row],[orderNum]])),0),"")</f>
        <v>49</v>
      </c>
      <c r="Q818">
        <f>IF(OR(ТабПозиции[[#This Row],[item]]="По штрихкоду",ТабПозиции[[#This Row],[item]]="Посылка"),ТабПозиции[[#This Row],[deliverySumm]]+ТабПозиции[[#This Row],[deliveryPost]],SUM(N818:P818))</f>
        <v>377</v>
      </c>
      <c r="R818" s="41">
        <v>377</v>
      </c>
      <c r="S818" s="46">
        <f>ТабПозиции[[#This Row],[totalSumm]]-ТабПозиции[[#This Row],[payment]]</f>
        <v>0</v>
      </c>
      <c r="T818" s="18" t="s">
        <v>970</v>
      </c>
      <c r="U818" s="40" t="s">
        <v>545</v>
      </c>
      <c r="V818" s="40" t="s">
        <v>545</v>
      </c>
      <c r="W818" s="40" t="s">
        <v>545</v>
      </c>
      <c r="X818" s="3"/>
      <c r="Y818"/>
    </row>
    <row r="819" spans="1:25" hidden="1" x14ac:dyDescent="0.25">
      <c r="A819" s="10">
        <v>233</v>
      </c>
      <c r="B819" s="1">
        <f>IFERROR(VLOOKUP(ТабПозиции[[#This Row],[orderNum]],ТабЗаказы[#Data],MATCH(B$7,ТабЗаказы[#Headers],0),0),"")</f>
        <v>45537</v>
      </c>
      <c r="C819" t="str">
        <f>MONTH(ТабПозиции[[#This Row],[date]])&amp;"/"&amp;YEAR(ТабПозиции[[#This Row],[date]])</f>
        <v>9/2024</v>
      </c>
      <c r="D819" s="1" t="str">
        <f>IFERROR(VLOOKUP(ТабПозиции[[#This Row],[orderNum]],ТабЗаказы[#Data],MATCH(D$7,ТабЗаказы[#Headers],0),0),"")</f>
        <v/>
      </c>
      <c r="E819" s="1" t="str">
        <f>IFERROR(VLOOKUP(ТабПозиции[[#This Row],[orderNum]],ТабЗаказы[#Data],MATCH(E$7,ТабЗаказы[#Headers],0),0),"")</f>
        <v/>
      </c>
      <c r="F819" s="16" t="s">
        <v>1282</v>
      </c>
      <c r="G819" s="40" t="s">
        <v>545</v>
      </c>
      <c r="I819" s="18">
        <v>45542</v>
      </c>
      <c r="J819" s="10">
        <v>1</v>
      </c>
      <c r="K819" s="10">
        <v>816</v>
      </c>
      <c r="L819">
        <v>816</v>
      </c>
      <c r="M819" s="10">
        <v>816</v>
      </c>
      <c r="N819">
        <f t="shared" si="14"/>
        <v>816</v>
      </c>
      <c r="O819" s="10">
        <v>199</v>
      </c>
      <c r="P8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Row],[orderNum]],ТабПозиции[orderSumm])&gt;1500),ABS(N819*VLOOKUP(ТабПозиции[[#This Row],[orderNum]],ТабЗаказы[#Data],MATCH("Percent",ТабЗаказы[#Headers],0),0))/100,200/COUNTIF(ТабПозиции[orderNum],ТабПозиции[[#This Row],[orderNum]])),0),"")</f>
        <v>122</v>
      </c>
      <c r="Q819">
        <f>IF(OR(ТабПозиции[[#This Row],[item]]="По штрихкоду",ТабПозиции[[#This Row],[item]]="Посылка"),ТабПозиции[[#This Row],[deliverySumm]]+ТабПозиции[[#This Row],[deliveryPost]],SUM(N819:P819))</f>
        <v>1137</v>
      </c>
      <c r="R819" s="41">
        <v>1137</v>
      </c>
      <c r="S819" s="46">
        <f>ТабПозиции[[#This Row],[totalSumm]]-ТабПозиции[[#This Row],[payment]]</f>
        <v>0</v>
      </c>
      <c r="T819" s="18" t="s">
        <v>1016</v>
      </c>
      <c r="U819" s="40" t="s">
        <v>545</v>
      </c>
      <c r="V819" s="40" t="s">
        <v>545</v>
      </c>
      <c r="W819" s="40" t="s">
        <v>545</v>
      </c>
      <c r="X819" s="3"/>
      <c r="Y819"/>
    </row>
    <row r="820" spans="1:25" hidden="1" x14ac:dyDescent="0.25">
      <c r="A820" s="10">
        <v>233</v>
      </c>
      <c r="B820" s="1">
        <f>IFERROR(VLOOKUP(ТабПозиции[[#This Row],[orderNum]],ТабЗаказы[#Data],MATCH(B$7,ТабЗаказы[#Headers],0),0),"")</f>
        <v>45537</v>
      </c>
      <c r="C820" t="str">
        <f>MONTH(ТабПозиции[[#This Row],[date]])&amp;"/"&amp;YEAR(ТабПозиции[[#This Row],[date]])</f>
        <v>9/2024</v>
      </c>
      <c r="D820" s="1" t="str">
        <f>IFERROR(VLOOKUP(ТабПозиции[[#This Row],[orderNum]],ТабЗаказы[#Data],MATCH(D$7,ТабЗаказы[#Headers],0),0),"")</f>
        <v/>
      </c>
      <c r="E820" s="1" t="str">
        <f>IFERROR(VLOOKUP(ТабПозиции[[#This Row],[orderNum]],ТабЗаказы[#Data],MATCH(E$7,ТабЗаказы[#Headers],0),0),"")</f>
        <v/>
      </c>
      <c r="F820" s="10" t="s">
        <v>1193</v>
      </c>
      <c r="G820" s="40" t="s">
        <v>545</v>
      </c>
      <c r="I820" s="18">
        <v>45542</v>
      </c>
      <c r="J820" s="10">
        <v>4</v>
      </c>
      <c r="K820" s="10">
        <v>750</v>
      </c>
      <c r="L820">
        <v>3000</v>
      </c>
      <c r="M820" s="10">
        <v>750</v>
      </c>
      <c r="N820">
        <f t="shared" si="14"/>
        <v>3000</v>
      </c>
      <c r="O820" s="10">
        <v>509</v>
      </c>
      <c r="P8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Row],[orderNum]],ТабПозиции[orderSumm])&gt;1500),ABS(N820*VLOOKUP(ТабПозиции[[#This Row],[orderNum]],ТабЗаказы[#Data],MATCH("Percent",ТабЗаказы[#Headers],0),0))/100,200/COUNTIF(ТабПозиции[orderNum],ТабПозиции[[#This Row],[orderNum]])),0),"")</f>
        <v>450</v>
      </c>
      <c r="Q820">
        <f>IF(OR(ТабПозиции[[#This Row],[item]]="По штрихкоду",ТабПозиции[[#This Row],[item]]="Посылка"),ТабПозиции[[#This Row],[deliverySumm]]+ТабПозиции[[#This Row],[deliveryPost]],SUM(N820:P820))</f>
        <v>3959</v>
      </c>
      <c r="R820" s="41">
        <v>3959</v>
      </c>
      <c r="S820" s="46">
        <f>ТабПозиции[[#This Row],[totalSumm]]-ТабПозиции[[#This Row],[payment]]</f>
        <v>0</v>
      </c>
      <c r="T820" s="18" t="s">
        <v>1067</v>
      </c>
      <c r="U820" s="40" t="s">
        <v>545</v>
      </c>
      <c r="V820" s="40" t="s">
        <v>545</v>
      </c>
      <c r="W820" s="40" t="s">
        <v>545</v>
      </c>
      <c r="X820" s="3"/>
      <c r="Y820"/>
    </row>
    <row r="821" spans="1:25" hidden="1" x14ac:dyDescent="0.25">
      <c r="A821" s="10">
        <v>234</v>
      </c>
      <c r="B821" s="1">
        <f>IFERROR(VLOOKUP(ТабПозиции[[#This Row],[orderNum]],ТабЗаказы[#Data],MATCH(B$7,ТабЗаказы[#Headers],0),0),"")</f>
        <v>45538</v>
      </c>
      <c r="C821" t="str">
        <f>MONTH(ТабПозиции[[#This Row],[date]])&amp;"/"&amp;YEAR(ТабПозиции[[#This Row],[date]])</f>
        <v>9/2024</v>
      </c>
      <c r="D821" s="1" t="str">
        <f>IFERROR(VLOOKUP(ТабПозиции[[#This Row],[orderNum]],ТабЗаказы[#Data],MATCH(D$7,ТабЗаказы[#Headers],0),0),"")</f>
        <v/>
      </c>
      <c r="E821" s="1" t="str">
        <f>IFERROR(VLOOKUP(ТабПозиции[[#This Row],[orderNum]],ТабЗаказы[#Data],MATCH(E$7,ТабЗаказы[#Headers],0),0),"")</f>
        <v/>
      </c>
      <c r="F821" s="10" t="s">
        <v>820</v>
      </c>
      <c r="G821" s="40" t="s">
        <v>545</v>
      </c>
      <c r="H821" s="27" t="s">
        <v>1283</v>
      </c>
      <c r="I821" s="18">
        <v>45558</v>
      </c>
      <c r="J821" s="10">
        <v>1</v>
      </c>
      <c r="K821" s="10">
        <v>10000</v>
      </c>
      <c r="L821">
        <v>10000</v>
      </c>
      <c r="M821" s="10">
        <v>10000</v>
      </c>
      <c r="N821">
        <f t="shared" si="14"/>
        <v>10000</v>
      </c>
      <c r="P8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Row],[orderNum]],ТабПозиции[orderSumm])&gt;1500),ABS(N821*VLOOKUP(ТабПозиции[[#This Row],[orderNum]],ТабЗаказы[#Data],MATCH("Percent",ТабЗаказы[#Headers],0),0))/100,200/COUNTIF(ТабПозиции[orderNum],ТабПозиции[[#This Row],[orderNum]])),0),"")</f>
        <v>1000</v>
      </c>
      <c r="Q821">
        <f>IF(OR(ТабПозиции[[#This Row],[item]]="По штрихкоду",ТабПозиции[[#This Row],[item]]="Посылка"),ТабПозиции[[#This Row],[deliverySumm]]+ТабПозиции[[#This Row],[deliveryPost]],SUM(N821:P821))</f>
        <v>1000</v>
      </c>
      <c r="R821" s="41">
        <v>1000</v>
      </c>
      <c r="S821" s="46">
        <f>ТабПозиции[[#This Row],[totalSumm]]-ТабПозиции[[#This Row],[payment]]</f>
        <v>0</v>
      </c>
      <c r="T821" s="18" t="s">
        <v>1021</v>
      </c>
      <c r="U821" s="40" t="s">
        <v>545</v>
      </c>
      <c r="V821" s="40" t="s">
        <v>545</v>
      </c>
      <c r="W821" s="40" t="s">
        <v>545</v>
      </c>
      <c r="X821" s="3"/>
      <c r="Y821"/>
    </row>
    <row r="822" spans="1:25" hidden="1" x14ac:dyDescent="0.25">
      <c r="A822" s="10">
        <v>234</v>
      </c>
      <c r="B822" s="1">
        <f>IFERROR(VLOOKUP(ТабПозиции[[#This Row],[orderNum]],ТабЗаказы[#Data],MATCH(B$7,ТабЗаказы[#Headers],0),0),"")</f>
        <v>45538</v>
      </c>
      <c r="C822" t="str">
        <f>MONTH(ТабПозиции[[#This Row],[date]])&amp;"/"&amp;YEAR(ТабПозиции[[#This Row],[date]])</f>
        <v>9/2024</v>
      </c>
      <c r="D822" s="1" t="str">
        <f>IFERROR(VLOOKUP(ТабПозиции[[#This Row],[orderNum]],ТабЗаказы[#Data],MATCH(D$7,ТабЗаказы[#Headers],0),0),"")</f>
        <v/>
      </c>
      <c r="E822" s="1" t="str">
        <f>IFERROR(VLOOKUP(ТабПозиции[[#This Row],[orderNum]],ТабЗаказы[#Data],MATCH(E$7,ТабЗаказы[#Headers],0),0),"")</f>
        <v/>
      </c>
      <c r="F822" s="10" t="s">
        <v>820</v>
      </c>
      <c r="G822" s="40" t="s">
        <v>545</v>
      </c>
      <c r="H822" s="12" t="s">
        <v>1284</v>
      </c>
      <c r="I822" s="18">
        <v>45540</v>
      </c>
      <c r="J822" s="10">
        <v>1</v>
      </c>
      <c r="K822" s="10">
        <v>5750</v>
      </c>
      <c r="L822">
        <v>5750</v>
      </c>
      <c r="M822" s="10">
        <v>5750</v>
      </c>
      <c r="N822">
        <f t="shared" si="14"/>
        <v>5750</v>
      </c>
      <c r="P8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Row],[orderNum]],ТабПозиции[orderSumm])&gt;1500),ABS(N822*VLOOKUP(ТабПозиции[[#This Row],[orderNum]],ТабЗаказы[#Data],MATCH("Percent",ТабЗаказы[#Headers],0),0))/100,200/COUNTIF(ТабПозиции[orderNum],ТабПозиции[[#This Row],[orderNum]])),0),"")</f>
        <v>575</v>
      </c>
      <c r="Q822">
        <f>IF(OR(ТабПозиции[[#This Row],[item]]="По штрихкоду",ТабПозиции[[#This Row],[item]]="Посылка"),ТабПозиции[[#This Row],[deliverySumm]]+ТабПозиции[[#This Row],[deliveryPost]],SUM(N822:P822))</f>
        <v>575</v>
      </c>
      <c r="R822" s="41">
        <v>575</v>
      </c>
      <c r="S822" s="46">
        <f>ТабПозиции[[#This Row],[totalSumm]]-ТабПозиции[[#This Row],[payment]]</f>
        <v>0</v>
      </c>
      <c r="T822" s="18" t="s">
        <v>1021</v>
      </c>
      <c r="U822" s="40" t="s">
        <v>545</v>
      </c>
      <c r="V822" s="40" t="s">
        <v>545</v>
      </c>
      <c r="W822" s="40" t="s">
        <v>545</v>
      </c>
      <c r="X822" s="3"/>
      <c r="Y822"/>
    </row>
    <row r="823" spans="1:25" hidden="1" x14ac:dyDescent="0.25">
      <c r="A823" s="10">
        <v>234</v>
      </c>
      <c r="B823" s="1">
        <f>IFERROR(VLOOKUP(ТабПозиции[[#This Row],[orderNum]],ТабЗаказы[#Data],MATCH(B$7,ТабЗаказы[#Headers],0),0),"")</f>
        <v>45538</v>
      </c>
      <c r="C823" t="str">
        <f>MONTH(ТабПозиции[[#This Row],[date]])&amp;"/"&amp;YEAR(ТабПозиции[[#This Row],[date]])</f>
        <v>9/2024</v>
      </c>
      <c r="D823" s="1" t="str">
        <f>IFERROR(VLOOKUP(ТабПозиции[[#This Row],[orderNum]],ТабЗаказы[#Data],MATCH(D$7,ТабЗаказы[#Headers],0),0),"")</f>
        <v/>
      </c>
      <c r="E823" s="1" t="str">
        <f>IFERROR(VLOOKUP(ТабПозиции[[#This Row],[orderNum]],ТабЗаказы[#Data],MATCH(E$7,ТабЗаказы[#Headers],0),0),"")</f>
        <v/>
      </c>
      <c r="F823" s="10" t="s">
        <v>820</v>
      </c>
      <c r="G823" s="40" t="s">
        <v>545</v>
      </c>
      <c r="H823" s="12" t="s">
        <v>1285</v>
      </c>
      <c r="I823" s="18">
        <v>45545</v>
      </c>
      <c r="J823" s="10">
        <v>1</v>
      </c>
      <c r="K823" s="10">
        <v>9000</v>
      </c>
      <c r="L823">
        <v>9000</v>
      </c>
      <c r="M823" s="10">
        <v>9000</v>
      </c>
      <c r="N823">
        <f t="shared" si="14"/>
        <v>9000</v>
      </c>
      <c r="P8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Row],[orderNum]],ТабПозиции[orderSumm])&gt;1500),ABS(N823*VLOOKUP(ТабПозиции[[#This Row],[orderNum]],ТабЗаказы[#Data],MATCH("Percent",ТабЗаказы[#Headers],0),0))/100,200/COUNTIF(ТабПозиции[orderNum],ТабПозиции[[#This Row],[orderNum]])),0),"")</f>
        <v>900</v>
      </c>
      <c r="Q823">
        <f>IF(OR(ТабПозиции[[#This Row],[item]]="По штрихкоду",ТабПозиции[[#This Row],[item]]="Посылка"),ТабПозиции[[#This Row],[deliverySumm]]+ТабПозиции[[#This Row],[deliveryPost]],SUM(N823:P823))</f>
        <v>900</v>
      </c>
      <c r="R823" s="41">
        <v>900</v>
      </c>
      <c r="S823" s="46">
        <f>ТабПозиции[[#This Row],[totalSumm]]-ТабПозиции[[#This Row],[payment]]</f>
        <v>0</v>
      </c>
      <c r="T823" s="18" t="s">
        <v>1021</v>
      </c>
      <c r="U823" s="40" t="s">
        <v>545</v>
      </c>
      <c r="V823" s="40" t="s">
        <v>545</v>
      </c>
      <c r="W823" s="40" t="s">
        <v>545</v>
      </c>
      <c r="X823" s="3"/>
      <c r="Y823"/>
    </row>
    <row r="824" spans="1:25" hidden="1" x14ac:dyDescent="0.25">
      <c r="A824" s="10">
        <v>235</v>
      </c>
      <c r="B824" s="1">
        <f>IFERROR(VLOOKUP(ТабПозиции[[#This Row],[orderNum]],ТабЗаказы[#Data],MATCH(B$7,ТабЗаказы[#Headers],0),0),"")</f>
        <v>45539</v>
      </c>
      <c r="C824" t="str">
        <f>MONTH(ТабПозиции[[#This Row],[date]])&amp;"/"&amp;YEAR(ТабПозиции[[#This Row],[date]])</f>
        <v>9/2024</v>
      </c>
      <c r="D824" s="1" t="str">
        <f>IFERROR(VLOOKUP(ТабПозиции[[#This Row],[orderNum]],ТабЗаказы[#Data],MATCH(D$7,ТабЗаказы[#Headers],0),0),"")</f>
        <v/>
      </c>
      <c r="E824" s="1" t="str">
        <f>IFERROR(VLOOKUP(ТабПозиции[[#This Row],[orderNum]],ТабЗаказы[#Data],MATCH(E$7,ТабЗаказы[#Headers],0),0),"")</f>
        <v/>
      </c>
      <c r="F824" s="16" t="s">
        <v>1286</v>
      </c>
      <c r="G824" s="40" t="s">
        <v>545</v>
      </c>
      <c r="I824" s="18">
        <v>45542</v>
      </c>
      <c r="J824" s="10">
        <v>1</v>
      </c>
      <c r="K824" s="10">
        <v>1702</v>
      </c>
      <c r="L824">
        <v>1702</v>
      </c>
      <c r="M824" s="10">
        <v>1792</v>
      </c>
      <c r="N824">
        <f t="shared" si="14"/>
        <v>1792</v>
      </c>
      <c r="P8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Row],[orderNum]],ТабПозиции[orderSumm])&gt;1500),ABS(N824*VLOOKUP(ТабПозиции[[#This Row],[orderNum]],ТабЗаказы[#Data],MATCH("Percent",ТабЗаказы[#Headers],0),0))/100,200/COUNTIF(ТабПозиции[orderNum],ТабПозиции[[#This Row],[orderNum]])),0),"")</f>
        <v>269</v>
      </c>
      <c r="Q824">
        <f>IF(OR(ТабПозиции[[#This Row],[item]]="По штрихкоду",ТабПозиции[[#This Row],[item]]="Посылка"),ТабПозиции[[#This Row],[deliverySumm]]+ТабПозиции[[#This Row],[deliveryPost]],SUM(N824:P824))</f>
        <v>2061</v>
      </c>
      <c r="R824" s="41">
        <v>2061</v>
      </c>
      <c r="S824" s="46">
        <f>ТабПозиции[[#This Row],[totalSumm]]-ТабПозиции[[#This Row],[payment]]</f>
        <v>0</v>
      </c>
      <c r="T824" s="18" t="s">
        <v>970</v>
      </c>
      <c r="U824" s="40" t="s">
        <v>545</v>
      </c>
      <c r="V824" s="40" t="s">
        <v>545</v>
      </c>
      <c r="W824" s="40" t="s">
        <v>545</v>
      </c>
      <c r="X824" s="3"/>
      <c r="Y824"/>
    </row>
    <row r="825" spans="1:25" hidden="1" x14ac:dyDescent="0.25">
      <c r="A825" s="10">
        <v>235</v>
      </c>
      <c r="B825" s="1">
        <f>IFERROR(VLOOKUP(ТабПозиции[[#This Row],[orderNum]],ТабЗаказы[#Data],MATCH(B$7,ТабЗаказы[#Headers],0),0),"")</f>
        <v>45539</v>
      </c>
      <c r="C825" t="str">
        <f>MONTH(ТабПозиции[[#This Row],[date]])&amp;"/"&amp;YEAR(ТабПозиции[[#This Row],[date]])</f>
        <v>9/2024</v>
      </c>
      <c r="D825" s="1" t="str">
        <f>IFERROR(VLOOKUP(ТабПозиции[[#This Row],[orderNum]],ТабЗаказы[#Data],MATCH(D$7,ТабЗаказы[#Headers],0),0),"")</f>
        <v/>
      </c>
      <c r="E825" s="1" t="str">
        <f>IFERROR(VLOOKUP(ТабПозиции[[#This Row],[orderNum]],ТабЗаказы[#Data],MATCH(E$7,ТабЗаказы[#Headers],0),0),"")</f>
        <v/>
      </c>
      <c r="F825" s="16" t="s">
        <v>1287</v>
      </c>
      <c r="G825" s="40" t="s">
        <v>545</v>
      </c>
      <c r="I825" s="18">
        <v>45541</v>
      </c>
      <c r="J825" s="10">
        <v>1</v>
      </c>
      <c r="K825" s="10">
        <v>2052</v>
      </c>
      <c r="L825">
        <v>2052</v>
      </c>
      <c r="M825" s="10">
        <v>2160</v>
      </c>
      <c r="N825">
        <f t="shared" si="14"/>
        <v>2160</v>
      </c>
      <c r="P8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Row],[orderNum]],ТабПозиции[orderSumm])&gt;1500),ABS(N825*VLOOKUP(ТабПозиции[[#This Row],[orderNum]],ТабЗаказы[#Data],MATCH("Percent",ТабЗаказы[#Headers],0),0))/100,200/COUNTIF(ТабПозиции[orderNum],ТабПозиции[[#This Row],[orderNum]])),0),"")</f>
        <v>324</v>
      </c>
      <c r="Q825">
        <f>IF(OR(ТабПозиции[[#This Row],[item]]="По штрихкоду",ТабПозиции[[#This Row],[item]]="Посылка"),ТабПозиции[[#This Row],[deliverySumm]]+ТабПозиции[[#This Row],[deliveryPost]],SUM(N825:P825))</f>
        <v>2484</v>
      </c>
      <c r="R825" s="41">
        <v>2484</v>
      </c>
      <c r="S825" s="46">
        <f>ТабПозиции[[#This Row],[totalSumm]]-ТабПозиции[[#This Row],[payment]]</f>
        <v>0</v>
      </c>
      <c r="T825" s="18" t="s">
        <v>970</v>
      </c>
      <c r="U825" s="40" t="s">
        <v>545</v>
      </c>
      <c r="V825" s="40" t="s">
        <v>545</v>
      </c>
      <c r="W825" s="40" t="s">
        <v>545</v>
      </c>
      <c r="X825" s="3"/>
      <c r="Y825"/>
    </row>
    <row r="826" spans="1:25" hidden="1" x14ac:dyDescent="0.25">
      <c r="A826" s="10">
        <v>235</v>
      </c>
      <c r="B826" s="1">
        <f>IFERROR(VLOOKUP(ТабПозиции[[#This Row],[orderNum]],ТабЗаказы[#Data],MATCH(B$7,ТабЗаказы[#Headers],0),0),"")</f>
        <v>45539</v>
      </c>
      <c r="C826" t="str">
        <f>MONTH(ТабПозиции[[#This Row],[date]])&amp;"/"&amp;YEAR(ТабПозиции[[#This Row],[date]])</f>
        <v>9/2024</v>
      </c>
      <c r="D826" s="1" t="str">
        <f>IFERROR(VLOOKUP(ТабПозиции[[#This Row],[orderNum]],ТабЗаказы[#Data],MATCH(D$7,ТабЗаказы[#Headers],0),0),"")</f>
        <v/>
      </c>
      <c r="E826" s="1" t="str">
        <f>IFERROR(VLOOKUP(ТабПозиции[[#This Row],[orderNum]],ТабЗаказы[#Data],MATCH(E$7,ТабЗаказы[#Headers],0),0),"")</f>
        <v/>
      </c>
      <c r="F826" s="16" t="s">
        <v>1288</v>
      </c>
      <c r="G826" s="40" t="s">
        <v>545</v>
      </c>
      <c r="I826" s="18">
        <v>45543</v>
      </c>
      <c r="J826" s="10">
        <v>1</v>
      </c>
      <c r="K826" s="10">
        <v>318</v>
      </c>
      <c r="L826">
        <v>318</v>
      </c>
      <c r="M826" s="10">
        <v>335</v>
      </c>
      <c r="N826">
        <f t="shared" si="14"/>
        <v>335</v>
      </c>
      <c r="P8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Row],[orderNum]],ТабПозиции[orderSumm])&gt;1500),ABS(N826*VLOOKUP(ТабПозиции[[#This Row],[orderNum]],ТабЗаказы[#Data],MATCH("Percent",ТабЗаказы[#Headers],0),0))/100,200/COUNTIF(ТабПозиции[orderNum],ТабПозиции[[#This Row],[orderNum]])),0),"")</f>
        <v>50</v>
      </c>
      <c r="Q826">
        <f>IF(OR(ТабПозиции[[#This Row],[item]]="По штрихкоду",ТабПозиции[[#This Row],[item]]="Посылка"),ТабПозиции[[#This Row],[deliverySumm]]+ТабПозиции[[#This Row],[deliveryPost]],SUM(N826:P826))</f>
        <v>385</v>
      </c>
      <c r="R826" s="41">
        <v>385</v>
      </c>
      <c r="S826" s="46">
        <f>ТабПозиции[[#This Row],[totalSumm]]-ТабПозиции[[#This Row],[payment]]</f>
        <v>0</v>
      </c>
      <c r="T826" s="18" t="s">
        <v>970</v>
      </c>
      <c r="U826" s="40" t="s">
        <v>545</v>
      </c>
      <c r="V826" s="40" t="s">
        <v>545</v>
      </c>
      <c r="W826" s="40" t="s">
        <v>545</v>
      </c>
      <c r="X826" s="3"/>
      <c r="Y826"/>
    </row>
    <row r="827" spans="1:25" hidden="1" x14ac:dyDescent="0.25">
      <c r="A827" s="10">
        <v>235</v>
      </c>
      <c r="B827" s="1">
        <f>IFERROR(VLOOKUP(ТабПозиции[[#This Row],[orderNum]],ТабЗаказы[#Data],MATCH(B$7,ТабЗаказы[#Headers],0),0),"")</f>
        <v>45539</v>
      </c>
      <c r="C827" t="str">
        <f>MONTH(ТабПозиции[[#This Row],[date]])&amp;"/"&amp;YEAR(ТабПозиции[[#This Row],[date]])</f>
        <v>9/2024</v>
      </c>
      <c r="D827" s="1" t="str">
        <f>IFERROR(VLOOKUP(ТабПозиции[[#This Row],[orderNum]],ТабЗаказы[#Data],MATCH(D$7,ТабЗаказы[#Headers],0),0),"")</f>
        <v/>
      </c>
      <c r="E827" s="1" t="str">
        <f>IFERROR(VLOOKUP(ТабПозиции[[#This Row],[orderNum]],ТабЗаказы[#Data],MATCH(E$7,ТабЗаказы[#Headers],0),0),"")</f>
        <v/>
      </c>
      <c r="F827" s="16" t="s">
        <v>1186</v>
      </c>
      <c r="G827" s="40" t="s">
        <v>545</v>
      </c>
      <c r="I827" s="18">
        <v>45542</v>
      </c>
      <c r="J827" s="10">
        <v>1</v>
      </c>
      <c r="K827" s="10">
        <v>668</v>
      </c>
      <c r="L827">
        <v>668</v>
      </c>
      <c r="M827" s="10">
        <v>704</v>
      </c>
      <c r="N827">
        <f t="shared" si="14"/>
        <v>704</v>
      </c>
      <c r="P8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Row],[orderNum]],ТабПозиции[orderSumm])&gt;1500),ABS(N827*VLOOKUP(ТабПозиции[[#This Row],[orderNum]],ТабЗаказы[#Data],MATCH("Percent",ТабЗаказы[#Headers],0),0))/100,200/COUNTIF(ТабПозиции[orderNum],ТабПозиции[[#This Row],[orderNum]])),0),"")</f>
        <v>106</v>
      </c>
      <c r="Q827">
        <f>IF(OR(ТабПозиции[[#This Row],[item]]="По штрихкоду",ТабПозиции[[#This Row],[item]]="Посылка"),ТабПозиции[[#This Row],[deliverySumm]]+ТабПозиции[[#This Row],[deliveryPost]],SUM(N827:P827))</f>
        <v>810</v>
      </c>
      <c r="R827" s="41">
        <v>810</v>
      </c>
      <c r="S827" s="46">
        <f>ТабПозиции[[#This Row],[totalSumm]]-ТабПозиции[[#This Row],[payment]]</f>
        <v>0</v>
      </c>
      <c r="T827" s="18" t="s">
        <v>970</v>
      </c>
      <c r="U827" s="40" t="s">
        <v>545</v>
      </c>
      <c r="V827" s="40" t="s">
        <v>545</v>
      </c>
      <c r="W827" s="40" t="s">
        <v>545</v>
      </c>
      <c r="X827" s="3"/>
      <c r="Y827"/>
    </row>
    <row r="828" spans="1:25" hidden="1" x14ac:dyDescent="0.25">
      <c r="A828" s="10">
        <v>235</v>
      </c>
      <c r="B828" s="1">
        <f>IFERROR(VLOOKUP(ТабПозиции[[#This Row],[orderNum]],ТабЗаказы[#Data],MATCH(B$7,ТабЗаказы[#Headers],0),0),"")</f>
        <v>45539</v>
      </c>
      <c r="C828" t="str">
        <f>MONTH(ТабПозиции[[#This Row],[date]])&amp;"/"&amp;YEAR(ТабПозиции[[#This Row],[date]])</f>
        <v>9/2024</v>
      </c>
      <c r="D828" s="1" t="str">
        <f>IFERROR(VLOOKUP(ТабПозиции[[#This Row],[orderNum]],ТабЗаказы[#Data],MATCH(D$7,ТабЗаказы[#Headers],0),0),"")</f>
        <v/>
      </c>
      <c r="E828" s="1" t="str">
        <f>IFERROR(VLOOKUP(ТабПозиции[[#This Row],[orderNum]],ТабЗаказы[#Data],MATCH(E$7,ТабЗаказы[#Headers],0),0),"")</f>
        <v/>
      </c>
      <c r="F828" s="16" t="s">
        <v>1289</v>
      </c>
      <c r="G828" s="40" t="s">
        <v>545</v>
      </c>
      <c r="I828" s="18">
        <v>45544</v>
      </c>
      <c r="J828" s="10">
        <v>1</v>
      </c>
      <c r="K828" s="10">
        <v>91</v>
      </c>
      <c r="L828">
        <v>91</v>
      </c>
      <c r="M828" s="10">
        <v>96</v>
      </c>
      <c r="N828">
        <f t="shared" si="14"/>
        <v>96</v>
      </c>
      <c r="P8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Row],[orderNum]],ТабПозиции[orderSumm])&gt;1500),ABS(N828*VLOOKUP(ТабПозиции[[#This Row],[orderNum]],ТабЗаказы[#Data],MATCH("Percent",ТабЗаказы[#Headers],0),0))/100,200/COUNTIF(ТабПозиции[orderNum],ТабПозиции[[#This Row],[orderNum]])),0),"")</f>
        <v>14</v>
      </c>
      <c r="Q828">
        <f>IF(OR(ТабПозиции[[#This Row],[item]]="По штрихкоду",ТабПозиции[[#This Row],[item]]="Посылка"),ТабПозиции[[#This Row],[deliverySumm]]+ТабПозиции[[#This Row],[deliveryPost]],SUM(N828:P828))</f>
        <v>110</v>
      </c>
      <c r="R828" s="41">
        <v>110</v>
      </c>
      <c r="S828" s="46">
        <f>ТабПозиции[[#This Row],[totalSumm]]-ТабПозиции[[#This Row],[payment]]</f>
        <v>0</v>
      </c>
      <c r="T828" s="18" t="s">
        <v>970</v>
      </c>
      <c r="U828" s="40" t="s">
        <v>545</v>
      </c>
      <c r="V828" s="40" t="s">
        <v>545</v>
      </c>
      <c r="W828" s="40" t="s">
        <v>545</v>
      </c>
      <c r="X828" s="3"/>
      <c r="Y828"/>
    </row>
    <row r="829" spans="1:25" hidden="1" x14ac:dyDescent="0.25">
      <c r="A829" s="10">
        <v>235</v>
      </c>
      <c r="B829" s="1">
        <f>IFERROR(VLOOKUP(ТабПозиции[[#This Row],[orderNum]],ТабЗаказы[#Data],MATCH(B$7,ТабЗаказы[#Headers],0),0),"")</f>
        <v>45539</v>
      </c>
      <c r="C829" t="str">
        <f>MONTH(ТабПозиции[[#This Row],[date]])&amp;"/"&amp;YEAR(ТабПозиции[[#This Row],[date]])</f>
        <v>9/2024</v>
      </c>
      <c r="D829" s="1" t="str">
        <f>IFERROR(VLOOKUP(ТабПозиции[[#This Row],[orderNum]],ТабЗаказы[#Data],MATCH(D$7,ТабЗаказы[#Headers],0),0),"")</f>
        <v/>
      </c>
      <c r="E829" s="1" t="str">
        <f>IFERROR(VLOOKUP(ТабПозиции[[#This Row],[orderNum]],ТабЗаказы[#Data],MATCH(E$7,ТабЗаказы[#Headers],0),0),"")</f>
        <v/>
      </c>
      <c r="F829" s="16" t="s">
        <v>1232</v>
      </c>
      <c r="G829" s="40" t="s">
        <v>545</v>
      </c>
      <c r="I829" s="18">
        <v>45542</v>
      </c>
      <c r="J829" s="10">
        <v>1</v>
      </c>
      <c r="K829" s="10">
        <v>1135</v>
      </c>
      <c r="L829">
        <v>1135</v>
      </c>
      <c r="M829" s="10">
        <v>1195</v>
      </c>
      <c r="N829">
        <f t="shared" si="14"/>
        <v>1195</v>
      </c>
      <c r="P8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Row],[orderNum]],ТабПозиции[orderSumm])&gt;1500),ABS(N829*VLOOKUP(ТабПозиции[[#This Row],[orderNum]],ТабЗаказы[#Data],MATCH("Percent",ТабЗаказы[#Headers],0),0))/100,200/COUNTIF(ТабПозиции[orderNum],ТабПозиции[[#This Row],[orderNum]])),0),"")</f>
        <v>179</v>
      </c>
      <c r="Q829">
        <f>IF(OR(ТабПозиции[[#This Row],[item]]="По штрихкоду",ТабПозиции[[#This Row],[item]]="Посылка"),ТабПозиции[[#This Row],[deliverySumm]]+ТабПозиции[[#This Row],[deliveryPost]],SUM(N829:P829))</f>
        <v>1374</v>
      </c>
      <c r="R829" s="41">
        <v>1374</v>
      </c>
      <c r="S829" s="46">
        <f>ТабПозиции[[#This Row],[totalSumm]]-ТабПозиции[[#This Row],[payment]]</f>
        <v>0</v>
      </c>
      <c r="T829" s="18" t="s">
        <v>970</v>
      </c>
      <c r="U829" s="40" t="s">
        <v>545</v>
      </c>
      <c r="V829" s="40" t="s">
        <v>545</v>
      </c>
      <c r="W829" s="40" t="s">
        <v>545</v>
      </c>
      <c r="X829" s="3"/>
      <c r="Y829"/>
    </row>
    <row r="830" spans="1:25" hidden="1" x14ac:dyDescent="0.25">
      <c r="A830" s="10">
        <v>236</v>
      </c>
      <c r="B830" s="1">
        <f>IFERROR(VLOOKUP(ТабПозиции[[#This Row],[orderNum]],ТабЗаказы[#Data],MATCH(B$7,ТабЗаказы[#Headers],0),0),"")</f>
        <v>45540</v>
      </c>
      <c r="C830" t="str">
        <f>MONTH(ТабПозиции[[#This Row],[date]])&amp;"/"&amp;YEAR(ТабПозиции[[#This Row],[date]])</f>
        <v>9/2024</v>
      </c>
      <c r="D830" s="1" t="str">
        <f>IFERROR(VLOOKUP(ТабПозиции[[#This Row],[orderNum]],ТабЗаказы[#Data],MATCH(D$7,ТабЗаказы[#Headers],0),0),"")</f>
        <v/>
      </c>
      <c r="E830" s="1" t="str">
        <f>IFERROR(VLOOKUP(ТабПозиции[[#This Row],[orderNum]],ТабЗаказы[#Data],MATCH(E$7,ТабЗаказы[#Headers],0),0),"")</f>
        <v/>
      </c>
      <c r="F830" s="16" t="s">
        <v>1290</v>
      </c>
      <c r="G830" s="40" t="s">
        <v>545</v>
      </c>
      <c r="I830" s="18">
        <v>45542</v>
      </c>
      <c r="J830" s="10">
        <v>1</v>
      </c>
      <c r="K830" s="10">
        <v>569</v>
      </c>
      <c r="L830">
        <v>569</v>
      </c>
      <c r="M830" s="10">
        <v>599</v>
      </c>
      <c r="N830">
        <f t="shared" si="14"/>
        <v>599</v>
      </c>
      <c r="P8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Row],[orderNum]],ТабПозиции[orderSumm])&gt;1500),ABS(N830*VLOOKUP(ТабПозиции[[#This Row],[orderNum]],ТабЗаказы[#Data],MATCH("Percent",ТабЗаказы[#Headers],0),0))/100,200/COUNTIF(ТабПозиции[orderNum],ТабПозиции[[#This Row],[orderNum]])),0),"")</f>
        <v>90</v>
      </c>
      <c r="Q830">
        <f>IF(OR(ТабПозиции[[#This Row],[item]]="По штрихкоду",ТабПозиции[[#This Row],[item]]="Посылка"),ТабПозиции[[#This Row],[deliverySumm]]+ТабПозиции[[#This Row],[deliveryPost]],SUM(N830:P830))</f>
        <v>689</v>
      </c>
      <c r="R830" s="41">
        <v>689</v>
      </c>
      <c r="S830" s="46">
        <f>ТабПозиции[[#This Row],[totalSumm]]-ТабПозиции[[#This Row],[payment]]</f>
        <v>0</v>
      </c>
      <c r="T830" s="18" t="s">
        <v>970</v>
      </c>
      <c r="U830" s="40" t="s">
        <v>545</v>
      </c>
      <c r="V830" s="40" t="s">
        <v>545</v>
      </c>
      <c r="W830" s="40" t="s">
        <v>545</v>
      </c>
      <c r="X830" s="3"/>
      <c r="Y830"/>
    </row>
    <row r="831" spans="1:25" hidden="1" x14ac:dyDescent="0.25">
      <c r="A831" s="10">
        <v>236</v>
      </c>
      <c r="B831" s="1">
        <f>IFERROR(VLOOKUP(ТабПозиции[[#This Row],[orderNum]],ТабЗаказы[#Data],MATCH(B$7,ТабЗаказы[#Headers],0),0),"")</f>
        <v>45540</v>
      </c>
      <c r="C831" t="str">
        <f>MONTH(ТабПозиции[[#This Row],[date]])&amp;"/"&amp;YEAR(ТабПозиции[[#This Row],[date]])</f>
        <v>9/2024</v>
      </c>
      <c r="D831" s="1" t="str">
        <f>IFERROR(VLOOKUP(ТабПозиции[[#This Row],[orderNum]],ТабЗаказы[#Data],MATCH(D$7,ТабЗаказы[#Headers],0),0),"")</f>
        <v/>
      </c>
      <c r="E831" s="1" t="str">
        <f>IFERROR(VLOOKUP(ТабПозиции[[#This Row],[orderNum]],ТабЗаказы[#Data],MATCH(E$7,ТабЗаказы[#Headers],0),0),"")</f>
        <v/>
      </c>
      <c r="F831" s="16" t="s">
        <v>1291</v>
      </c>
      <c r="G831" s="40" t="s">
        <v>545</v>
      </c>
      <c r="I831" s="18">
        <v>45542</v>
      </c>
      <c r="J831" s="10">
        <v>1</v>
      </c>
      <c r="K831" s="10">
        <v>304</v>
      </c>
      <c r="L831">
        <v>304</v>
      </c>
      <c r="M831" s="10">
        <v>321</v>
      </c>
      <c r="N831">
        <f t="shared" si="14"/>
        <v>321</v>
      </c>
      <c r="P8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Row],[orderNum]],ТабПозиции[orderSumm])&gt;1500),ABS(N831*VLOOKUP(ТабПозиции[[#This Row],[orderNum]],ТабЗаказы[#Data],MATCH("Percent",ТабЗаказы[#Headers],0),0))/100,200/COUNTIF(ТабПозиции[orderNum],ТабПозиции[[#This Row],[orderNum]])),0),"")</f>
        <v>48</v>
      </c>
      <c r="Q831">
        <f>IF(OR(ТабПозиции[[#This Row],[item]]="По штрихкоду",ТабПозиции[[#This Row],[item]]="Посылка"),ТабПозиции[[#This Row],[deliverySumm]]+ТабПозиции[[#This Row],[deliveryPost]],SUM(N831:P831))</f>
        <v>369</v>
      </c>
      <c r="R831" s="41">
        <v>369</v>
      </c>
      <c r="S831" s="46">
        <f>ТабПозиции[[#This Row],[totalSumm]]-ТабПозиции[[#This Row],[payment]]</f>
        <v>0</v>
      </c>
      <c r="T831" s="18" t="s">
        <v>970</v>
      </c>
      <c r="U831" s="40" t="s">
        <v>545</v>
      </c>
      <c r="V831" s="40" t="s">
        <v>545</v>
      </c>
      <c r="W831" s="40" t="s">
        <v>545</v>
      </c>
      <c r="X831" s="3"/>
      <c r="Y831"/>
    </row>
    <row r="832" spans="1:25" hidden="1" x14ac:dyDescent="0.25">
      <c r="A832" s="10">
        <v>236</v>
      </c>
      <c r="B832" s="1">
        <f>IFERROR(VLOOKUP(ТабПозиции[[#This Row],[orderNum]],ТабЗаказы[#Data],MATCH(B$7,ТабЗаказы[#Headers],0),0),"")</f>
        <v>45540</v>
      </c>
      <c r="C832" t="str">
        <f>MONTH(ТабПозиции[[#This Row],[date]])&amp;"/"&amp;YEAR(ТабПозиции[[#This Row],[date]])</f>
        <v>9/2024</v>
      </c>
      <c r="D832" s="1" t="str">
        <f>IFERROR(VLOOKUP(ТабПозиции[[#This Row],[orderNum]],ТабЗаказы[#Data],MATCH(D$7,ТабЗаказы[#Headers],0),0),"")</f>
        <v/>
      </c>
      <c r="E832" s="1" t="str">
        <f>IFERROR(VLOOKUP(ТабПозиции[[#This Row],[orderNum]],ТабЗаказы[#Data],MATCH(E$7,ТабЗаказы[#Headers],0),0),"")</f>
        <v/>
      </c>
      <c r="F832" s="16" t="s">
        <v>700</v>
      </c>
      <c r="G832" s="40" t="s">
        <v>545</v>
      </c>
      <c r="I832" s="18">
        <v>45542</v>
      </c>
      <c r="J832" s="10">
        <v>1</v>
      </c>
      <c r="K832" s="10">
        <v>554</v>
      </c>
      <c r="L832">
        <v>554</v>
      </c>
      <c r="M832" s="10">
        <v>584</v>
      </c>
      <c r="N832">
        <f t="shared" si="14"/>
        <v>584</v>
      </c>
      <c r="P8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Row],[orderNum]],ТабПозиции[orderSumm])&gt;1500),ABS(N832*VLOOKUP(ТабПозиции[[#This Row],[orderNum]],ТабЗаказы[#Data],MATCH("Percent",ТабЗаказы[#Headers],0),0))/100,200/COUNTIF(ТабПозиции[orderNum],ТабПозиции[[#This Row],[orderNum]])),0),"")</f>
        <v>88</v>
      </c>
      <c r="Q832">
        <f>IF(OR(ТабПозиции[[#This Row],[item]]="По штрихкоду",ТабПозиции[[#This Row],[item]]="Посылка"),ТабПозиции[[#This Row],[deliverySumm]]+ТабПозиции[[#This Row],[deliveryPost]],SUM(N832:P832))</f>
        <v>672</v>
      </c>
      <c r="R832" s="41">
        <v>672</v>
      </c>
      <c r="S832" s="46">
        <f>ТабПозиции[[#This Row],[totalSumm]]-ТабПозиции[[#This Row],[payment]]</f>
        <v>0</v>
      </c>
      <c r="T832" s="18" t="s">
        <v>970</v>
      </c>
      <c r="U832" s="40" t="s">
        <v>545</v>
      </c>
      <c r="V832" s="40" t="s">
        <v>545</v>
      </c>
      <c r="W832" s="40" t="s">
        <v>545</v>
      </c>
      <c r="X832" s="3"/>
      <c r="Y832"/>
    </row>
    <row r="833" spans="1:25" hidden="1" x14ac:dyDescent="0.25">
      <c r="A833" s="10">
        <v>236</v>
      </c>
      <c r="B833" s="1">
        <f>IFERROR(VLOOKUP(ТабПозиции[[#This Row],[orderNum]],ТабЗаказы[#Data],MATCH(B$7,ТабЗаказы[#Headers],0),0),"")</f>
        <v>45540</v>
      </c>
      <c r="C833" t="str">
        <f>MONTH(ТабПозиции[[#This Row],[date]])&amp;"/"&amp;YEAR(ТабПозиции[[#This Row],[date]])</f>
        <v>9/2024</v>
      </c>
      <c r="D833" s="1" t="str">
        <f>IFERROR(VLOOKUP(ТабПозиции[[#This Row],[orderNum]],ТабЗаказы[#Data],MATCH(D$7,ТабЗаказы[#Headers],0),0),"")</f>
        <v/>
      </c>
      <c r="E833" s="1" t="str">
        <f>IFERROR(VLOOKUP(ТабПозиции[[#This Row],[orderNum]],ТабЗаказы[#Data],MATCH(E$7,ТабЗаказы[#Headers],0),0),"")</f>
        <v/>
      </c>
      <c r="F833" s="16" t="s">
        <v>1292</v>
      </c>
      <c r="G833" s="40" t="s">
        <v>545</v>
      </c>
      <c r="I833" s="18">
        <v>45542</v>
      </c>
      <c r="J833" s="10">
        <v>1</v>
      </c>
      <c r="K833" s="10">
        <v>337</v>
      </c>
      <c r="L833">
        <v>337</v>
      </c>
      <c r="M833" s="10">
        <v>355</v>
      </c>
      <c r="N833">
        <f t="shared" si="14"/>
        <v>355</v>
      </c>
      <c r="P8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Row],[orderNum]],ТабПозиции[orderSumm])&gt;1500),ABS(N833*VLOOKUP(ТабПозиции[[#This Row],[orderNum]],ТабЗаказы[#Data],MATCH("Percent",ТабЗаказы[#Headers],0),0))/100,200/COUNTIF(ТабПозиции[orderNum],ТабПозиции[[#This Row],[orderNum]])),0),"")</f>
        <v>53</v>
      </c>
      <c r="Q833">
        <f>IF(OR(ТабПозиции[[#This Row],[item]]="По штрихкоду",ТабПозиции[[#This Row],[item]]="Посылка"),ТабПозиции[[#This Row],[deliverySumm]]+ТабПозиции[[#This Row],[deliveryPost]],SUM(N833:P833))</f>
        <v>408</v>
      </c>
      <c r="R833" s="41">
        <v>408</v>
      </c>
      <c r="S833" s="46">
        <f>ТабПозиции[[#This Row],[totalSumm]]-ТабПозиции[[#This Row],[payment]]</f>
        <v>0</v>
      </c>
      <c r="T833" s="18" t="s">
        <v>970</v>
      </c>
      <c r="U833" s="40" t="s">
        <v>545</v>
      </c>
      <c r="V833" s="40" t="s">
        <v>545</v>
      </c>
      <c r="W833" s="40" t="s">
        <v>545</v>
      </c>
      <c r="X833" s="3"/>
      <c r="Y833"/>
    </row>
    <row r="834" spans="1:25" hidden="1" x14ac:dyDescent="0.25">
      <c r="A834" s="10">
        <v>236</v>
      </c>
      <c r="B834" s="1">
        <f>IFERROR(VLOOKUP(ТабПозиции[[#This Row],[orderNum]],ТабЗаказы[#Data],MATCH(B$7,ТабЗаказы[#Headers],0),0),"")</f>
        <v>45540</v>
      </c>
      <c r="C834" t="str">
        <f>MONTH(ТабПозиции[[#This Row],[date]])&amp;"/"&amp;YEAR(ТабПозиции[[#This Row],[date]])</f>
        <v>9/2024</v>
      </c>
      <c r="D834" s="1" t="str">
        <f>IFERROR(VLOOKUP(ТабПозиции[[#This Row],[orderNum]],ТабЗаказы[#Data],MATCH(D$7,ТабЗаказы[#Headers],0),0),"")</f>
        <v/>
      </c>
      <c r="E834" s="1" t="str">
        <f>IFERROR(VLOOKUP(ТабПозиции[[#This Row],[orderNum]],ТабЗаказы[#Data],MATCH(E$7,ТабЗаказы[#Headers],0),0),"")</f>
        <v/>
      </c>
      <c r="F834" s="16" t="s">
        <v>1293</v>
      </c>
      <c r="G834" s="40" t="s">
        <v>545</v>
      </c>
      <c r="I834" s="18">
        <v>45542</v>
      </c>
      <c r="J834" s="10">
        <v>1</v>
      </c>
      <c r="K834" s="10">
        <v>247</v>
      </c>
      <c r="L834">
        <v>247</v>
      </c>
      <c r="M834" s="10">
        <v>261</v>
      </c>
      <c r="N834">
        <f t="shared" si="14"/>
        <v>261</v>
      </c>
      <c r="P8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Row],[orderNum]],ТабПозиции[orderSumm])&gt;1500),ABS(N834*VLOOKUP(ТабПозиции[[#This Row],[orderNum]],ТабЗаказы[#Data],MATCH("Percent",ТабЗаказы[#Headers],0),0))/100,200/COUNTIF(ТабПозиции[orderNum],ТабПозиции[[#This Row],[orderNum]])),0),"")</f>
        <v>39</v>
      </c>
      <c r="Q834">
        <f>IF(OR(ТабПозиции[[#This Row],[item]]="По штрихкоду",ТабПозиции[[#This Row],[item]]="Посылка"),ТабПозиции[[#This Row],[deliverySumm]]+ТабПозиции[[#This Row],[deliveryPost]],SUM(N834:P834))</f>
        <v>300</v>
      </c>
      <c r="R834" s="41">
        <v>300</v>
      </c>
      <c r="S834" s="46">
        <f>ТабПозиции[[#This Row],[totalSumm]]-ТабПозиции[[#This Row],[payment]]</f>
        <v>0</v>
      </c>
      <c r="T834" s="18" t="s">
        <v>970</v>
      </c>
      <c r="U834" s="40" t="s">
        <v>545</v>
      </c>
      <c r="V834" s="40" t="s">
        <v>545</v>
      </c>
      <c r="W834" s="40" t="s">
        <v>545</v>
      </c>
      <c r="X834" s="3"/>
      <c r="Y834"/>
    </row>
    <row r="835" spans="1:25" hidden="1" x14ac:dyDescent="0.25">
      <c r="A835" s="10">
        <v>236</v>
      </c>
      <c r="B835" s="1">
        <f>IFERROR(VLOOKUP(ТабПозиции[[#This Row],[orderNum]],ТабЗаказы[#Data],MATCH(B$7,ТабЗаказы[#Headers],0),0),"")</f>
        <v>45540</v>
      </c>
      <c r="C835" t="str">
        <f>MONTH(ТабПозиции[[#This Row],[date]])&amp;"/"&amp;YEAR(ТабПозиции[[#This Row],[date]])</f>
        <v>9/2024</v>
      </c>
      <c r="D835" s="1" t="str">
        <f>IFERROR(VLOOKUP(ТабПозиции[[#This Row],[orderNum]],ТабЗаказы[#Data],MATCH(D$7,ТабЗаказы[#Headers],0),0),"")</f>
        <v/>
      </c>
      <c r="E835" s="1" t="str">
        <f>IFERROR(VLOOKUP(ТабПозиции[[#This Row],[orderNum]],ТабЗаказы[#Data],MATCH(E$7,ТабЗаказы[#Headers],0),0),"")</f>
        <v/>
      </c>
      <c r="F835" s="16" t="s">
        <v>1294</v>
      </c>
      <c r="G835" s="40" t="s">
        <v>545</v>
      </c>
      <c r="I835" s="18">
        <v>45542</v>
      </c>
      <c r="J835" s="10">
        <v>1</v>
      </c>
      <c r="K835" s="10">
        <v>58</v>
      </c>
      <c r="L835">
        <v>58</v>
      </c>
      <c r="M835" s="10">
        <v>62</v>
      </c>
      <c r="N835">
        <f t="shared" si="14"/>
        <v>62</v>
      </c>
      <c r="P8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Row],[orderNum]],ТабПозиции[orderSumm])&gt;1500),ABS(N835*VLOOKUP(ТабПозиции[[#This Row],[orderNum]],ТабЗаказы[#Data],MATCH("Percent",ТабЗаказы[#Headers],0),0))/100,200/COUNTIF(ТабПозиции[orderNum],ТабПозиции[[#This Row],[orderNum]])),0),"")</f>
        <v>9</v>
      </c>
      <c r="Q835">
        <f>IF(OR(ТабПозиции[[#This Row],[item]]="По штрихкоду",ТабПозиции[[#This Row],[item]]="Посылка"),ТабПозиции[[#This Row],[deliverySumm]]+ТабПозиции[[#This Row],[deliveryPost]],SUM(N835:P835))</f>
        <v>71</v>
      </c>
      <c r="R835" s="41">
        <v>71</v>
      </c>
      <c r="S835" s="46">
        <f>ТабПозиции[[#This Row],[totalSumm]]-ТабПозиции[[#This Row],[payment]]</f>
        <v>0</v>
      </c>
      <c r="T835" s="18" t="s">
        <v>970</v>
      </c>
      <c r="U835" s="40" t="s">
        <v>545</v>
      </c>
      <c r="V835" s="40" t="s">
        <v>545</v>
      </c>
      <c r="W835" s="40" t="s">
        <v>545</v>
      </c>
      <c r="X835" s="3"/>
      <c r="Y835"/>
    </row>
    <row r="836" spans="1:25" hidden="1" x14ac:dyDescent="0.25">
      <c r="A836" s="10">
        <v>236</v>
      </c>
      <c r="B836" s="1">
        <f>IFERROR(VLOOKUP(ТабПозиции[[#This Row],[orderNum]],ТабЗаказы[#Data],MATCH(B$7,ТабЗаказы[#Headers],0),0),"")</f>
        <v>45540</v>
      </c>
      <c r="C836" t="str">
        <f>MONTH(ТабПозиции[[#This Row],[date]])&amp;"/"&amp;YEAR(ТабПозиции[[#This Row],[date]])</f>
        <v>9/2024</v>
      </c>
      <c r="D836" s="1" t="str">
        <f>IFERROR(VLOOKUP(ТабПозиции[[#This Row],[orderNum]],ТабЗаказы[#Data],MATCH(D$7,ТабЗаказы[#Headers],0),0),"")</f>
        <v/>
      </c>
      <c r="E836" s="1" t="str">
        <f>IFERROR(VLOOKUP(ТабПозиции[[#This Row],[orderNum]],ТабЗаказы[#Data],MATCH(E$7,ТабЗаказы[#Headers],0),0),"")</f>
        <v/>
      </c>
      <c r="F836" s="16" t="s">
        <v>1295</v>
      </c>
      <c r="G836" s="40" t="s">
        <v>545</v>
      </c>
      <c r="I836" s="18">
        <v>45542</v>
      </c>
      <c r="J836" s="10">
        <v>1</v>
      </c>
      <c r="K836" s="10">
        <v>191</v>
      </c>
      <c r="L836">
        <v>191</v>
      </c>
      <c r="M836" s="10">
        <v>202</v>
      </c>
      <c r="N836">
        <f t="shared" si="14"/>
        <v>202</v>
      </c>
      <c r="P8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Row],[orderNum]],ТабПозиции[orderSumm])&gt;1500),ABS(N836*VLOOKUP(ТабПозиции[[#This Row],[orderNum]],ТабЗаказы[#Data],MATCH("Percent",ТабЗаказы[#Headers],0),0))/100,200/COUNTIF(ТабПозиции[orderNum],ТабПозиции[[#This Row],[orderNum]])),0),"")</f>
        <v>30</v>
      </c>
      <c r="Q836">
        <f>IF(OR(ТабПозиции[[#This Row],[item]]="По штрихкоду",ТабПозиции[[#This Row],[item]]="Посылка"),ТабПозиции[[#This Row],[deliverySumm]]+ТабПозиции[[#This Row],[deliveryPost]],SUM(N836:P836))</f>
        <v>232</v>
      </c>
      <c r="R836" s="41">
        <v>232</v>
      </c>
      <c r="S836" s="46">
        <f>ТабПозиции[[#This Row],[totalSumm]]-ТабПозиции[[#This Row],[payment]]</f>
        <v>0</v>
      </c>
      <c r="T836" s="18" t="s">
        <v>970</v>
      </c>
      <c r="U836" s="40" t="s">
        <v>545</v>
      </c>
      <c r="V836" s="40" t="s">
        <v>545</v>
      </c>
      <c r="W836" s="40" t="s">
        <v>545</v>
      </c>
      <c r="X836" s="3"/>
      <c r="Y836"/>
    </row>
    <row r="837" spans="1:25" hidden="1" x14ac:dyDescent="0.25">
      <c r="A837" s="10">
        <v>236</v>
      </c>
      <c r="B837" s="1">
        <f>IFERROR(VLOOKUP(ТабПозиции[[#This Row],[orderNum]],ТабЗаказы[#Data],MATCH(B$7,ТабЗаказы[#Headers],0),0),"")</f>
        <v>45540</v>
      </c>
      <c r="C837" t="str">
        <f>MONTH(ТабПозиции[[#This Row],[date]])&amp;"/"&amp;YEAR(ТабПозиции[[#This Row],[date]])</f>
        <v>9/2024</v>
      </c>
      <c r="D837" s="1" t="str">
        <f>IFERROR(VLOOKUP(ТабПозиции[[#This Row],[orderNum]],ТабЗаказы[#Data],MATCH(D$7,ТабЗаказы[#Headers],0),0),"")</f>
        <v/>
      </c>
      <c r="E837" s="1" t="str">
        <f>IFERROR(VLOOKUP(ТабПозиции[[#This Row],[orderNum]],ТабЗаказы[#Data],MATCH(E$7,ТабЗаказы[#Headers],0),0),"")</f>
        <v/>
      </c>
      <c r="F837" s="16" t="s">
        <v>1296</v>
      </c>
      <c r="G837" s="40" t="s">
        <v>545</v>
      </c>
      <c r="I837" s="18">
        <v>45542</v>
      </c>
      <c r="J837" s="10">
        <v>1</v>
      </c>
      <c r="K837" s="10">
        <v>190</v>
      </c>
      <c r="L837">
        <v>190</v>
      </c>
      <c r="M837" s="10">
        <v>200</v>
      </c>
      <c r="N837">
        <f t="shared" si="14"/>
        <v>200</v>
      </c>
      <c r="P8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Row],[orderNum]],ТабПозиции[orderSumm])&gt;1500),ABS(N837*VLOOKUP(ТабПозиции[[#This Row],[orderNum]],ТабЗаказы[#Data],MATCH("Percent",ТабЗаказы[#Headers],0),0))/100,200/COUNTIF(ТабПозиции[orderNum],ТабПозиции[[#This Row],[orderNum]])),0),"")</f>
        <v>30</v>
      </c>
      <c r="Q837">
        <f>IF(OR(ТабПозиции[[#This Row],[item]]="По штрихкоду",ТабПозиции[[#This Row],[item]]="Посылка"),ТабПозиции[[#This Row],[deliverySumm]]+ТабПозиции[[#This Row],[deliveryPost]],SUM(N837:P837))</f>
        <v>230</v>
      </c>
      <c r="R837" s="41">
        <v>230</v>
      </c>
      <c r="S837" s="46">
        <f>ТабПозиции[[#This Row],[totalSumm]]-ТабПозиции[[#This Row],[payment]]</f>
        <v>0</v>
      </c>
      <c r="T837" s="18" t="s">
        <v>970</v>
      </c>
      <c r="U837" s="40" t="s">
        <v>545</v>
      </c>
      <c r="V837" s="40" t="s">
        <v>545</v>
      </c>
      <c r="W837" s="40" t="s">
        <v>545</v>
      </c>
      <c r="X837" s="3"/>
      <c r="Y837"/>
    </row>
    <row r="838" spans="1:25" hidden="1" x14ac:dyDescent="0.25">
      <c r="A838" s="10">
        <v>236</v>
      </c>
      <c r="B838" s="1">
        <f>IFERROR(VLOOKUP(ТабПозиции[[#This Row],[orderNum]],ТабЗаказы[#Data],MATCH(B$7,ТабЗаказы[#Headers],0),0),"")</f>
        <v>45540</v>
      </c>
      <c r="C838" t="str">
        <f>MONTH(ТабПозиции[[#This Row],[date]])&amp;"/"&amp;YEAR(ТабПозиции[[#This Row],[date]])</f>
        <v>9/2024</v>
      </c>
      <c r="D838" s="1" t="str">
        <f>IFERROR(VLOOKUP(ТабПозиции[[#This Row],[orderNum]],ТабЗаказы[#Data],MATCH(D$7,ТабЗаказы[#Headers],0),0),"")</f>
        <v/>
      </c>
      <c r="E838" s="1" t="str">
        <f>IFERROR(VLOOKUP(ТабПозиции[[#This Row],[orderNum]],ТабЗаказы[#Data],MATCH(E$7,ТабЗаказы[#Headers],0),0),"")</f>
        <v/>
      </c>
      <c r="F838" s="16" t="s">
        <v>1297</v>
      </c>
      <c r="G838" s="40" t="s">
        <v>545</v>
      </c>
      <c r="I838" s="18">
        <v>45542</v>
      </c>
      <c r="J838" s="10">
        <v>1</v>
      </c>
      <c r="K838" s="10">
        <v>162</v>
      </c>
      <c r="L838">
        <v>162</v>
      </c>
      <c r="M838" s="10">
        <v>171</v>
      </c>
      <c r="N838">
        <f t="shared" si="14"/>
        <v>171</v>
      </c>
      <c r="P8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Row],[orderNum]],ТабПозиции[orderSumm])&gt;1500),ABS(N838*VLOOKUP(ТабПозиции[[#This Row],[orderNum]],ТабЗаказы[#Data],MATCH("Percent",ТабЗаказы[#Headers],0),0))/100,200/COUNTIF(ТабПозиции[orderNum],ТабПозиции[[#This Row],[orderNum]])),0),"")</f>
        <v>26</v>
      </c>
      <c r="Q838">
        <f>IF(OR(ТабПозиции[[#This Row],[item]]="По штрихкоду",ТабПозиции[[#This Row],[item]]="Посылка"),ТабПозиции[[#This Row],[deliverySumm]]+ТабПозиции[[#This Row],[deliveryPost]],SUM(N838:P838))</f>
        <v>197</v>
      </c>
      <c r="R838" s="41">
        <v>197</v>
      </c>
      <c r="S838" s="46">
        <f>ТабПозиции[[#This Row],[totalSumm]]-ТабПозиции[[#This Row],[payment]]</f>
        <v>0</v>
      </c>
      <c r="T838" s="18" t="s">
        <v>970</v>
      </c>
      <c r="U838" s="40" t="s">
        <v>545</v>
      </c>
      <c r="V838" s="40" t="s">
        <v>545</v>
      </c>
      <c r="W838" s="40" t="s">
        <v>545</v>
      </c>
      <c r="X838" s="3"/>
      <c r="Y838"/>
    </row>
    <row r="839" spans="1:25" hidden="1" x14ac:dyDescent="0.25">
      <c r="A839" s="10">
        <v>234</v>
      </c>
      <c r="B839" s="1">
        <f>IFERROR(VLOOKUP(ТабПозиции[[#This Row],[orderNum]],ТабЗаказы[#Data],MATCH(B$7,ТабЗаказы[#Headers],0),0),"")</f>
        <v>45538</v>
      </c>
      <c r="C839" t="str">
        <f>MONTH(ТабПозиции[[#This Row],[date]])&amp;"/"&amp;YEAR(ТабПозиции[[#This Row],[date]])</f>
        <v>9/2024</v>
      </c>
      <c r="D839" s="1" t="str">
        <f>IFERROR(VLOOKUP(ТабПозиции[[#This Row],[orderNum]],ТабЗаказы[#Data],MATCH(D$7,ТабЗаказы[#Headers],0),0),"")</f>
        <v/>
      </c>
      <c r="E839" s="1" t="str">
        <f>IFERROR(VLOOKUP(ТабПозиции[[#This Row],[orderNum]],ТабЗаказы[#Data],MATCH(E$7,ТабЗаказы[#Headers],0),0),"")</f>
        <v/>
      </c>
      <c r="F839" s="10" t="s">
        <v>820</v>
      </c>
      <c r="G839" s="40" t="s">
        <v>545</v>
      </c>
      <c r="H839" s="12" t="s">
        <v>1298</v>
      </c>
      <c r="I839" s="18">
        <v>45543</v>
      </c>
      <c r="J839" s="10">
        <v>1</v>
      </c>
      <c r="K839" s="10">
        <v>13600</v>
      </c>
      <c r="L839">
        <v>13600</v>
      </c>
      <c r="M839" s="10">
        <v>13600</v>
      </c>
      <c r="N839">
        <f t="shared" si="14"/>
        <v>13600</v>
      </c>
      <c r="O839" s="10">
        <v>566</v>
      </c>
      <c r="P8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Row],[orderNum]],ТабПозиции[orderSumm])&gt;1500),ABS(N839*VLOOKUP(ТабПозиции[[#This Row],[orderNum]],ТабЗаказы[#Data],MATCH("Percent",ТабЗаказы[#Headers],0),0))/100,200/COUNTIF(ТабПозиции[orderNum],ТабПозиции[[#This Row],[orderNum]])),0),"")</f>
        <v>1360</v>
      </c>
      <c r="Q839">
        <f>IF(OR(ТабПозиции[[#This Row],[item]]="По штрихкоду",ТабПозиции[[#This Row],[item]]="Посылка"),ТабПозиции[[#This Row],[deliverySumm]]+ТабПозиции[[#This Row],[deliveryPost]],SUM(N839:P839))</f>
        <v>1926</v>
      </c>
      <c r="R839" s="41">
        <v>1926</v>
      </c>
      <c r="S839" s="46">
        <f>ТабПозиции[[#This Row],[totalSumm]]-ТабПозиции[[#This Row],[payment]]</f>
        <v>0</v>
      </c>
      <c r="T839" s="18" t="s">
        <v>1021</v>
      </c>
      <c r="U839" s="40" t="s">
        <v>545</v>
      </c>
      <c r="V839" s="40" t="s">
        <v>545</v>
      </c>
      <c r="W839" s="40" t="s">
        <v>545</v>
      </c>
      <c r="X839" s="3"/>
      <c r="Y839"/>
    </row>
    <row r="840" spans="1:25" hidden="1" x14ac:dyDescent="0.25">
      <c r="A840" s="10">
        <v>237</v>
      </c>
      <c r="B840" s="1">
        <f>IFERROR(VLOOKUP(ТабПозиции[[#This Row],[orderNum]],ТабЗаказы[#Data],MATCH(B$7,ТабЗаказы[#Headers],0),0),"")</f>
        <v>45541</v>
      </c>
      <c r="C840" t="str">
        <f>MONTH(ТабПозиции[[#This Row],[date]])&amp;"/"&amp;YEAR(ТабПозиции[[#This Row],[date]])</f>
        <v>9/2024</v>
      </c>
      <c r="D840" s="1" t="str">
        <f>IFERROR(VLOOKUP(ТабПозиции[[#This Row],[orderNum]],ТабЗаказы[#Data],MATCH(D$7,ТабЗаказы[#Headers],0),0),"")</f>
        <v/>
      </c>
      <c r="E840" s="1" t="str">
        <f>IFERROR(VLOOKUP(ТабПозиции[[#This Row],[orderNum]],ТабЗаказы[#Data],MATCH(E$7,ТабЗаказы[#Headers],0),0),"")</f>
        <v/>
      </c>
      <c r="F840" s="10" t="s">
        <v>32</v>
      </c>
      <c r="G840" s="40" t="s">
        <v>545</v>
      </c>
      <c r="I840" s="18"/>
      <c r="J840" s="10">
        <v>1</v>
      </c>
      <c r="K840" s="10">
        <v>3615</v>
      </c>
      <c r="L840">
        <v>3615</v>
      </c>
      <c r="M840" s="10">
        <v>3615</v>
      </c>
      <c r="N840">
        <f t="shared" si="14"/>
        <v>3615</v>
      </c>
      <c r="P8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Row],[orderNum]],ТабПозиции[orderSumm])&gt;1500),ABS(N840*VLOOKUP(ТабПозиции[[#This Row],[orderNum]],ТабЗаказы[#Data],MATCH("Percent",ТабЗаказы[#Headers],0),0))/100,200/COUNTIF(ТабПозиции[orderNum],ТабПозиции[[#This Row],[orderNum]])),0),"")</f>
        <v>542</v>
      </c>
      <c r="Q840">
        <f>IF(OR(ТабПозиции[[#This Row],[item]]="По штрихкоду",ТабПозиции[[#This Row],[item]]="Посылка"),ТабПозиции[[#This Row],[deliverySumm]]+ТабПозиции[[#This Row],[deliveryPost]],SUM(N840:P840))</f>
        <v>542</v>
      </c>
      <c r="R840" s="41">
        <v>542</v>
      </c>
      <c r="S840" s="46">
        <f>ТабПозиции[[#This Row],[totalSumm]]-ТабПозиции[[#This Row],[payment]]</f>
        <v>0</v>
      </c>
      <c r="T840" s="18" t="s">
        <v>960</v>
      </c>
      <c r="U840" s="40" t="s">
        <v>545</v>
      </c>
      <c r="V840" s="40" t="s">
        <v>545</v>
      </c>
      <c r="W840" s="40" t="s">
        <v>545</v>
      </c>
      <c r="X840" s="3"/>
      <c r="Y840"/>
    </row>
    <row r="841" spans="1:25" hidden="1" x14ac:dyDescent="0.25">
      <c r="A841" s="10">
        <v>238</v>
      </c>
      <c r="B841" s="1">
        <f>IFERROR(VLOOKUP(ТабПозиции[[#This Row],[orderNum]],ТабЗаказы[#Data],MATCH(B$7,ТабЗаказы[#Headers],0),0),"")</f>
        <v>45541</v>
      </c>
      <c r="C841" t="str">
        <f>MONTH(ТабПозиции[[#This Row],[date]])&amp;"/"&amp;YEAR(ТабПозиции[[#This Row],[date]])</f>
        <v>9/2024</v>
      </c>
      <c r="D841" s="1" t="str">
        <f>IFERROR(VLOOKUP(ТабПозиции[[#This Row],[orderNum]],ТабЗаказы[#Data],MATCH(D$7,ТабЗаказы[#Headers],0),0),"")</f>
        <v/>
      </c>
      <c r="E841" s="1" t="str">
        <f>IFERROR(VLOOKUP(ТабПозиции[[#This Row],[orderNum]],ТабЗаказы[#Data],MATCH(E$7,ТабЗаказы[#Headers],0),0),"")</f>
        <v/>
      </c>
      <c r="F841" s="10" t="s">
        <v>32</v>
      </c>
      <c r="G841" s="40" t="s">
        <v>545</v>
      </c>
      <c r="I841" s="18"/>
      <c r="J841" s="10">
        <v>1</v>
      </c>
      <c r="K841" s="10">
        <v>2953</v>
      </c>
      <c r="L841">
        <v>2953</v>
      </c>
      <c r="M841" s="10">
        <v>2953</v>
      </c>
      <c r="N841">
        <f t="shared" si="14"/>
        <v>2953</v>
      </c>
      <c r="P8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Row],[orderNum]],ТабПозиции[orderSumm])&gt;1500),ABS(N841*VLOOKUP(ТабПозиции[[#This Row],[orderNum]],ТабЗаказы[#Data],MATCH("Percent",ТабЗаказы[#Headers],0),0))/100,200/COUNTIF(ТабПозиции[orderNum],ТабПозиции[[#This Row],[orderNum]])),0),"")</f>
        <v>443</v>
      </c>
      <c r="Q841">
        <f>IF(OR(ТабПозиции[[#This Row],[item]]="По штрихкоду",ТабПозиции[[#This Row],[item]]="Посылка"),ТабПозиции[[#This Row],[deliverySumm]]+ТабПозиции[[#This Row],[deliveryPost]],SUM(N841:P841))</f>
        <v>443</v>
      </c>
      <c r="R841" s="41">
        <v>433</v>
      </c>
      <c r="S841" s="46">
        <f>ТабПозиции[[#This Row],[totalSumm]]-ТабПозиции[[#This Row],[payment]]</f>
        <v>10</v>
      </c>
      <c r="T841" s="18" t="s">
        <v>960</v>
      </c>
      <c r="U841" s="40" t="s">
        <v>545</v>
      </c>
      <c r="V841" s="40" t="s">
        <v>545</v>
      </c>
      <c r="W841" s="40" t="s">
        <v>545</v>
      </c>
      <c r="X841" s="3"/>
      <c r="Y841"/>
    </row>
    <row r="842" spans="1:25" hidden="1" x14ac:dyDescent="0.25">
      <c r="A842" s="10">
        <v>239</v>
      </c>
      <c r="B842" s="1">
        <f>IFERROR(VLOOKUP(ТабПозиции[[#This Row],[orderNum]],ТабЗаказы[#Data],MATCH(B$7,ТабЗаказы[#Headers],0),0),"")</f>
        <v>45541</v>
      </c>
      <c r="C842" t="str">
        <f>MONTH(ТабПозиции[[#This Row],[date]])&amp;"/"&amp;YEAR(ТабПозиции[[#This Row],[date]])</f>
        <v>9/2024</v>
      </c>
      <c r="D842" s="1" t="str">
        <f>IFERROR(VLOOKUP(ТабПозиции[[#This Row],[orderNum]],ТабЗаказы[#Data],MATCH(D$7,ТабЗаказы[#Headers],0),0),"")</f>
        <v/>
      </c>
      <c r="E842" s="1" t="str">
        <f>IFERROR(VLOOKUP(ТабПозиции[[#This Row],[orderNum]],ТабЗаказы[#Data],MATCH(E$7,ТабЗаказы[#Headers],0),0),"")</f>
        <v/>
      </c>
      <c r="F842" s="10" t="s">
        <v>32</v>
      </c>
      <c r="G842" s="40" t="s">
        <v>545</v>
      </c>
      <c r="I842" s="18"/>
      <c r="J842" s="10">
        <v>1</v>
      </c>
      <c r="K842" s="10">
        <v>4836</v>
      </c>
      <c r="L842">
        <v>4836</v>
      </c>
      <c r="M842" s="10">
        <v>4836</v>
      </c>
      <c r="N842">
        <f t="shared" si="14"/>
        <v>4836</v>
      </c>
      <c r="P8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Row],[orderNum]],ТабПозиции[orderSumm])&gt;1500),ABS(N842*VLOOKUP(ТабПозиции[[#This Row],[orderNum]],ТабЗаказы[#Data],MATCH("Percent",ТабЗаказы[#Headers],0),0))/100,200/COUNTIF(ТабПозиции[orderNum],ТабПозиции[[#This Row],[orderNum]])),0),"")</f>
        <v>725</v>
      </c>
      <c r="Q842">
        <f>IF(OR(ТабПозиции[[#This Row],[item]]="По штрихкоду",ТабПозиции[[#This Row],[item]]="Посылка"),ТабПозиции[[#This Row],[deliverySumm]]+ТабПозиции[[#This Row],[deliveryPost]],SUM(N842:P842))</f>
        <v>725</v>
      </c>
      <c r="R842" s="41">
        <v>725</v>
      </c>
      <c r="S842" s="46">
        <f>ТабПозиции[[#This Row],[totalSumm]]-ТабПозиции[[#This Row],[payment]]</f>
        <v>0</v>
      </c>
      <c r="T842" s="18" t="s">
        <v>960</v>
      </c>
      <c r="U842" s="40" t="s">
        <v>545</v>
      </c>
      <c r="V842" s="40" t="s">
        <v>545</v>
      </c>
      <c r="W842" s="40" t="s">
        <v>545</v>
      </c>
      <c r="X842" s="3"/>
      <c r="Y842"/>
    </row>
    <row r="843" spans="1:25" hidden="1" x14ac:dyDescent="0.25">
      <c r="A843" s="10">
        <v>240</v>
      </c>
      <c r="B843" s="1">
        <f>IFERROR(VLOOKUP(ТабПозиции[[#This Row],[orderNum]],ТабЗаказы[#Data],MATCH(B$7,ТабЗаказы[#Headers],0),0),"")</f>
        <v>45541</v>
      </c>
      <c r="C843" t="str">
        <f>MONTH(ТабПозиции[[#This Row],[date]])&amp;"/"&amp;YEAR(ТабПозиции[[#This Row],[date]])</f>
        <v>9/2024</v>
      </c>
      <c r="D843" s="1" t="str">
        <f>IFERROR(VLOOKUP(ТабПозиции[[#This Row],[orderNum]],ТабЗаказы[#Data],MATCH(D$7,ТабЗаказы[#Headers],0),0),"")</f>
        <v/>
      </c>
      <c r="E843" s="1" t="str">
        <f>IFERROR(VLOOKUP(ТабПозиции[[#This Row],[orderNum]],ТабЗаказы[#Data],MATCH(E$7,ТабЗаказы[#Headers],0),0),"")</f>
        <v/>
      </c>
      <c r="F843" s="10" t="s">
        <v>32</v>
      </c>
      <c r="G843" s="40" t="s">
        <v>545</v>
      </c>
      <c r="I843" s="18"/>
      <c r="J843" s="10">
        <v>1</v>
      </c>
      <c r="K843" s="10">
        <v>13270</v>
      </c>
      <c r="L843">
        <v>13270</v>
      </c>
      <c r="M843" s="10">
        <v>13270</v>
      </c>
      <c r="N843">
        <f t="shared" si="14"/>
        <v>13270</v>
      </c>
      <c r="P8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Row],[orderNum]],ТабПозиции[orderSumm])&gt;1500),ABS(N843*VLOOKUP(ТабПозиции[[#This Row],[orderNum]],ТабЗаказы[#Data],MATCH("Percent",ТабЗаказы[#Headers],0),0))/100,200/COUNTIF(ТабПозиции[orderNum],ТабПозиции[[#This Row],[orderNum]])),0),"")</f>
        <v>1327</v>
      </c>
      <c r="Q843">
        <f>IF(OR(ТабПозиции[[#This Row],[item]]="По штрихкоду",ТабПозиции[[#This Row],[item]]="Посылка"),ТабПозиции[[#This Row],[deliverySumm]]+ТабПозиции[[#This Row],[deliveryPost]],SUM(N843:P843))</f>
        <v>1327</v>
      </c>
      <c r="R843" s="41">
        <v>1327</v>
      </c>
      <c r="S843" s="46">
        <f>ТабПозиции[[#This Row],[totalSumm]]-ТабПозиции[[#This Row],[payment]]</f>
        <v>0</v>
      </c>
      <c r="T843" s="18" t="s">
        <v>960</v>
      </c>
      <c r="U843" s="40" t="s">
        <v>545</v>
      </c>
      <c r="V843" s="40" t="s">
        <v>545</v>
      </c>
      <c r="W843" s="40" t="s">
        <v>545</v>
      </c>
      <c r="X843" s="3"/>
      <c r="Y843"/>
    </row>
    <row r="844" spans="1:25" hidden="1" x14ac:dyDescent="0.25">
      <c r="A844" s="10">
        <v>234</v>
      </c>
      <c r="B844" s="1">
        <f>IFERROR(VLOOKUP(ТабПозиции[[#This Row],[orderNum]],ТабЗаказы[#Data],MATCH(B$7,ТабЗаказы[#Headers],0),0),"")</f>
        <v>45538</v>
      </c>
      <c r="C844" t="str">
        <f>MONTH(ТабПозиции[[#This Row],[date]])&amp;"/"&amp;YEAR(ТабПозиции[[#This Row],[date]])</f>
        <v>9/2024</v>
      </c>
      <c r="D844" s="1" t="str">
        <f>IFERROR(VLOOKUP(ТабПозиции[[#This Row],[orderNum]],ТабЗаказы[#Data],MATCH(D$7,ТабЗаказы[#Headers],0),0),"")</f>
        <v/>
      </c>
      <c r="E844" s="1" t="str">
        <f>IFERROR(VLOOKUP(ТабПозиции[[#This Row],[orderNum]],ТабЗаказы[#Data],MATCH(E$7,ТабЗаказы[#Headers],0),0),"")</f>
        <v/>
      </c>
      <c r="F844" s="10" t="s">
        <v>820</v>
      </c>
      <c r="G844" s="40" t="s">
        <v>545</v>
      </c>
      <c r="H844" s="28" t="s">
        <v>1323</v>
      </c>
      <c r="I844" s="18">
        <v>45548</v>
      </c>
      <c r="J844" s="10">
        <v>1</v>
      </c>
      <c r="K844" s="10">
        <v>1800</v>
      </c>
      <c r="L844">
        <v>1800</v>
      </c>
      <c r="M844" s="10">
        <v>1800</v>
      </c>
      <c r="N844">
        <f t="shared" si="14"/>
        <v>1800</v>
      </c>
      <c r="P8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Row],[orderNum]],ТабПозиции[orderSumm])&gt;1500),ABS(N844*VLOOKUP(ТабПозиции[[#This Row],[orderNum]],ТабЗаказы[#Data],MATCH("Percent",ТабЗаказы[#Headers],0),0))/100,200/COUNTIF(ТабПозиции[orderNum],ТабПозиции[[#This Row],[orderNum]])),0),"")</f>
        <v>180</v>
      </c>
      <c r="Q844">
        <f>IF(OR(ТабПозиции[[#This Row],[item]]="По штрихкоду",ТабПозиции[[#This Row],[item]]="Посылка"),ТабПозиции[[#This Row],[deliverySumm]]+ТабПозиции[[#This Row],[deliveryPost]],SUM(N844:P844))</f>
        <v>180</v>
      </c>
      <c r="R844" s="41">
        <f>180</f>
        <v>180</v>
      </c>
      <c r="S844" s="46">
        <f>ТабПозиции[[#This Row],[totalSumm]]-ТабПозиции[[#This Row],[payment]]</f>
        <v>0</v>
      </c>
      <c r="T844" s="18" t="s">
        <v>1016</v>
      </c>
      <c r="U844" s="40" t="s">
        <v>545</v>
      </c>
      <c r="V844" s="40" t="s">
        <v>545</v>
      </c>
      <c r="W844" s="40" t="s">
        <v>545</v>
      </c>
      <c r="X844" s="3"/>
      <c r="Y844"/>
    </row>
    <row r="845" spans="1:25" hidden="1" x14ac:dyDescent="0.25">
      <c r="A845" s="10">
        <v>241</v>
      </c>
      <c r="B845" s="1">
        <f>IFERROR(VLOOKUP(ТабПозиции[[#This Row],[orderNum]],ТабЗаказы[#Data],MATCH(B$7,ТабЗаказы[#Headers],0),0),"")</f>
        <v>45541</v>
      </c>
      <c r="C845" t="str">
        <f>MONTH(ТабПозиции[[#This Row],[date]])&amp;"/"&amp;YEAR(ТабПозиции[[#This Row],[date]])</f>
        <v>9/2024</v>
      </c>
      <c r="D845" s="1" t="str">
        <f>IFERROR(VLOOKUP(ТабПозиции[[#This Row],[orderNum]],ТабЗаказы[#Data],MATCH(D$7,ТабЗаказы[#Headers],0),0),"")</f>
        <v/>
      </c>
      <c r="E845" s="1" t="str">
        <f>IFERROR(VLOOKUP(ТабПозиции[[#This Row],[orderNum]],ТабЗаказы[#Data],MATCH(E$7,ТабЗаказы[#Headers],0),0),"")</f>
        <v/>
      </c>
      <c r="F845" s="16" t="s">
        <v>560</v>
      </c>
      <c r="G845" s="40" t="s">
        <v>545</v>
      </c>
      <c r="I845" s="18">
        <v>45544</v>
      </c>
      <c r="J845" s="10">
        <v>1</v>
      </c>
      <c r="K845" s="10">
        <v>129</v>
      </c>
      <c r="L845">
        <v>129</v>
      </c>
      <c r="M845" s="10">
        <v>136</v>
      </c>
      <c r="N845">
        <f t="shared" si="14"/>
        <v>136</v>
      </c>
      <c r="P8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Row],[orderNum]],ТабПозиции[orderSumm])&gt;1500),ABS(N845*VLOOKUP(ТабПозиции[[#This Row],[orderNum]],ТабЗаказы[#Data],MATCH("Percent",ТабЗаказы[#Headers],0),0))/100,200/COUNTIF(ТабПозиции[orderNum],ТабПозиции[[#This Row],[orderNum]])),0),"")</f>
        <v>20</v>
      </c>
      <c r="Q845">
        <f>IF(OR(ТабПозиции[[#This Row],[item]]="По штрихкоду",ТабПозиции[[#This Row],[item]]="Посылка"),ТабПозиции[[#This Row],[deliverySumm]]+ТабПозиции[[#This Row],[deliveryPost]],SUM(N845:P845))</f>
        <v>156</v>
      </c>
      <c r="R845" s="41">
        <v>156</v>
      </c>
      <c r="S845" s="46">
        <f>ТабПозиции[[#This Row],[totalSumm]]-ТабПозиции[[#This Row],[payment]]</f>
        <v>0</v>
      </c>
      <c r="T845" s="18" t="s">
        <v>970</v>
      </c>
      <c r="U845" s="40" t="s">
        <v>545</v>
      </c>
      <c r="V845" s="40" t="s">
        <v>545</v>
      </c>
      <c r="W845" s="40" t="s">
        <v>545</v>
      </c>
      <c r="X845" s="3"/>
      <c r="Y845"/>
    </row>
    <row r="846" spans="1:25" hidden="1" x14ac:dyDescent="0.25">
      <c r="A846" s="10">
        <v>241</v>
      </c>
      <c r="B846" s="1">
        <f>IFERROR(VLOOKUP(ТабПозиции[[#This Row],[orderNum]],ТабЗаказы[#Data],MATCH(B$7,ТабЗаказы[#Headers],0),0),"")</f>
        <v>45541</v>
      </c>
      <c r="C846" t="str">
        <f>MONTH(ТабПозиции[[#This Row],[date]])&amp;"/"&amp;YEAR(ТабПозиции[[#This Row],[date]])</f>
        <v>9/2024</v>
      </c>
      <c r="D846" s="1" t="str">
        <f>IFERROR(VLOOKUP(ТабПозиции[[#This Row],[orderNum]],ТабЗаказы[#Data],MATCH(D$7,ТабЗаказы[#Headers],0),0),"")</f>
        <v/>
      </c>
      <c r="E846" s="1" t="str">
        <f>IFERROR(VLOOKUP(ТабПозиции[[#This Row],[orderNum]],ТабЗаказы[#Data],MATCH(E$7,ТабЗаказы[#Headers],0),0),"")</f>
        <v/>
      </c>
      <c r="F846" s="16" t="s">
        <v>1324</v>
      </c>
      <c r="G846" s="40" t="s">
        <v>545</v>
      </c>
      <c r="I846" s="18">
        <v>45543</v>
      </c>
      <c r="J846" s="10">
        <v>1</v>
      </c>
      <c r="K846" s="10">
        <v>155</v>
      </c>
      <c r="L846">
        <v>155</v>
      </c>
      <c r="M846" s="10">
        <v>164</v>
      </c>
      <c r="N846">
        <f t="shared" si="14"/>
        <v>164</v>
      </c>
      <c r="P8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Row],[orderNum]],ТабПозиции[orderSumm])&gt;1500),ABS(N846*VLOOKUP(ТабПозиции[[#This Row],[orderNum]],ТабЗаказы[#Data],MATCH("Percent",ТабЗаказы[#Headers],0),0))/100,200/COUNTIF(ТабПозиции[orderNum],ТабПозиции[[#This Row],[orderNum]])),0),"")</f>
        <v>25</v>
      </c>
      <c r="Q846">
        <f>IF(OR(ТабПозиции[[#This Row],[item]]="По штрихкоду",ТабПозиции[[#This Row],[item]]="Посылка"),ТабПозиции[[#This Row],[deliverySumm]]+ТабПозиции[[#This Row],[deliveryPost]],SUM(N846:P846))</f>
        <v>189</v>
      </c>
      <c r="R846" s="41">
        <v>189</v>
      </c>
      <c r="S846" s="46">
        <f>ТабПозиции[[#This Row],[totalSumm]]-ТабПозиции[[#This Row],[payment]]</f>
        <v>0</v>
      </c>
      <c r="T846" s="18" t="s">
        <v>970</v>
      </c>
      <c r="U846" s="40" t="s">
        <v>545</v>
      </c>
      <c r="V846" s="40" t="s">
        <v>545</v>
      </c>
      <c r="W846" s="40" t="s">
        <v>545</v>
      </c>
      <c r="X846" s="3"/>
      <c r="Y846"/>
    </row>
    <row r="847" spans="1:25" hidden="1" x14ac:dyDescent="0.25">
      <c r="A847" s="10">
        <v>241</v>
      </c>
      <c r="B847" s="1">
        <f>IFERROR(VLOOKUP(ТабПозиции[[#This Row],[orderNum]],ТабЗаказы[#Data],MATCH(B$7,ТабЗаказы[#Headers],0),0),"")</f>
        <v>45541</v>
      </c>
      <c r="C847" t="str">
        <f>MONTH(ТабПозиции[[#This Row],[date]])&amp;"/"&amp;YEAR(ТабПозиции[[#This Row],[date]])</f>
        <v>9/2024</v>
      </c>
      <c r="D847" s="1" t="str">
        <f>IFERROR(VLOOKUP(ТабПозиции[[#This Row],[orderNum]],ТабЗаказы[#Data],MATCH(D$7,ТабЗаказы[#Headers],0),0),"")</f>
        <v/>
      </c>
      <c r="E847" s="1" t="str">
        <f>IFERROR(VLOOKUP(ТабПозиции[[#This Row],[orderNum]],ТабЗаказы[#Data],MATCH(E$7,ТабЗаказы[#Headers],0),0),"")</f>
        <v/>
      </c>
      <c r="F847" s="16" t="s">
        <v>1325</v>
      </c>
      <c r="G847" s="40" t="s">
        <v>545</v>
      </c>
      <c r="I847" s="18">
        <v>45548</v>
      </c>
      <c r="J847" s="10">
        <v>1</v>
      </c>
      <c r="K847" s="10">
        <v>140</v>
      </c>
      <c r="L847">
        <v>140</v>
      </c>
      <c r="M847" s="10">
        <v>148</v>
      </c>
      <c r="N847">
        <f t="shared" si="14"/>
        <v>148</v>
      </c>
      <c r="P8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Row],[orderNum]],ТабПозиции[orderSumm])&gt;1500),ABS(N847*VLOOKUP(ТабПозиции[[#This Row],[orderNum]],ТабЗаказы[#Data],MATCH("Percent",ТабЗаказы[#Headers],0),0))/100,200/COUNTIF(ТабПозиции[orderNum],ТабПозиции[[#This Row],[orderNum]])),0),"")</f>
        <v>22</v>
      </c>
      <c r="Q847">
        <f>IF(OR(ТабПозиции[[#This Row],[item]]="По штрихкоду",ТабПозиции[[#This Row],[item]]="Посылка"),ТабПозиции[[#This Row],[deliverySumm]]+ТабПозиции[[#This Row],[deliveryPost]],SUM(N847:P847))</f>
        <v>170</v>
      </c>
      <c r="R847" s="41">
        <v>170</v>
      </c>
      <c r="S847" s="46">
        <f>ТабПозиции[[#This Row],[totalSumm]]-ТабПозиции[[#This Row],[payment]]</f>
        <v>0</v>
      </c>
      <c r="T847" s="18" t="s">
        <v>970</v>
      </c>
      <c r="U847" s="40" t="s">
        <v>545</v>
      </c>
      <c r="V847" s="40" t="s">
        <v>545</v>
      </c>
      <c r="W847" s="40" t="s">
        <v>545</v>
      </c>
      <c r="X847" s="3"/>
      <c r="Y847"/>
    </row>
    <row r="848" spans="1:25" hidden="1" x14ac:dyDescent="0.25">
      <c r="A848" s="10">
        <v>241</v>
      </c>
      <c r="B848" s="1">
        <f>IFERROR(VLOOKUP(ТабПозиции[[#This Row],[orderNum]],ТабЗаказы[#Data],MATCH(B$7,ТабЗаказы[#Headers],0),0),"")</f>
        <v>45541</v>
      </c>
      <c r="C848" t="str">
        <f>MONTH(ТабПозиции[[#This Row],[date]])&amp;"/"&amp;YEAR(ТабПозиции[[#This Row],[date]])</f>
        <v>9/2024</v>
      </c>
      <c r="D848" s="1" t="str">
        <f>IFERROR(VLOOKUP(ТабПозиции[[#This Row],[orderNum]],ТабЗаказы[#Data],MATCH(D$7,ТабЗаказы[#Headers],0),0),"")</f>
        <v/>
      </c>
      <c r="E848" s="1" t="str">
        <f>IFERROR(VLOOKUP(ТабПозиции[[#This Row],[orderNum]],ТабЗаказы[#Data],MATCH(E$7,ТабЗаказы[#Headers],0),0),"")</f>
        <v/>
      </c>
      <c r="F848" s="16" t="s">
        <v>1326</v>
      </c>
      <c r="G848" s="40" t="s">
        <v>545</v>
      </c>
      <c r="I848" s="18">
        <v>45543</v>
      </c>
      <c r="J848" s="10">
        <v>1</v>
      </c>
      <c r="K848" s="10">
        <v>1110</v>
      </c>
      <c r="L848">
        <v>1110</v>
      </c>
      <c r="M848" s="10">
        <v>1194</v>
      </c>
      <c r="N848">
        <f t="shared" si="14"/>
        <v>1194</v>
      </c>
      <c r="P8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Row],[orderNum]],ТабПозиции[orderSumm])&gt;1500),ABS(N848*VLOOKUP(ТабПозиции[[#This Row],[orderNum]],ТабЗаказы[#Data],MATCH("Percent",ТабЗаказы[#Headers],0),0))/100,200/COUNTIF(ТабПозиции[orderNum],ТабПозиции[[#This Row],[orderNum]])),0),"")</f>
        <v>179</v>
      </c>
      <c r="Q848">
        <f>IF(OR(ТабПозиции[[#This Row],[item]]="По штрихкоду",ТабПозиции[[#This Row],[item]]="Посылка"),ТабПозиции[[#This Row],[deliverySumm]]+ТабПозиции[[#This Row],[deliveryPost]],SUM(N848:P848))</f>
        <v>1373</v>
      </c>
      <c r="R848" s="41">
        <v>1373</v>
      </c>
      <c r="S848" s="46">
        <f>ТабПозиции[[#This Row],[totalSumm]]-ТабПозиции[[#This Row],[payment]]</f>
        <v>0</v>
      </c>
      <c r="T848" s="18" t="s">
        <v>960</v>
      </c>
      <c r="U848" s="40" t="s">
        <v>545</v>
      </c>
      <c r="V848" s="40" t="s">
        <v>545</v>
      </c>
      <c r="W848" s="40" t="s">
        <v>545</v>
      </c>
      <c r="X848" s="3"/>
      <c r="Y848"/>
    </row>
    <row r="849" spans="1:25" hidden="1" x14ac:dyDescent="0.25">
      <c r="A849" s="10">
        <v>241</v>
      </c>
      <c r="B849" s="1">
        <f>IFERROR(VLOOKUP(ТабПозиции[[#This Row],[orderNum]],ТабЗаказы[#Data],MATCH(B$7,ТабЗаказы[#Headers],0),0),"")</f>
        <v>45541</v>
      </c>
      <c r="C849" t="str">
        <f>MONTH(ТабПозиции[[#This Row],[date]])&amp;"/"&amp;YEAR(ТабПозиции[[#This Row],[date]])</f>
        <v>9/2024</v>
      </c>
      <c r="D849" s="1" t="str">
        <f>IFERROR(VLOOKUP(ТабПозиции[[#This Row],[orderNum]],ТабЗаказы[#Data],MATCH(D$7,ТабЗаказы[#Headers],0),0),"")</f>
        <v/>
      </c>
      <c r="E849" s="1" t="str">
        <f>IFERROR(VLOOKUP(ТабПозиции[[#This Row],[orderNum]],ТабЗаказы[#Data],MATCH(E$7,ТабЗаказы[#Headers],0),0),"")</f>
        <v/>
      </c>
      <c r="F849" s="16" t="s">
        <v>1327</v>
      </c>
      <c r="G849" s="40" t="s">
        <v>545</v>
      </c>
      <c r="I849" s="18">
        <v>45544</v>
      </c>
      <c r="J849" s="10">
        <v>1</v>
      </c>
      <c r="K849" s="10">
        <v>513</v>
      </c>
      <c r="L849">
        <v>513</v>
      </c>
      <c r="M849" s="10">
        <v>544</v>
      </c>
      <c r="N849">
        <f t="shared" si="14"/>
        <v>544</v>
      </c>
      <c r="P8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Row],[orderNum]],ТабПозиции[orderSumm])&gt;1500),ABS(N849*VLOOKUP(ТабПозиции[[#This Row],[orderNum]],ТабЗаказы[#Data],MATCH("Percent",ТабЗаказы[#Headers],0),0))/100,200/COUNTIF(ТабПозиции[orderNum],ТабПозиции[[#This Row],[orderNum]])),0),"")</f>
        <v>82</v>
      </c>
      <c r="Q849">
        <f>IF(OR(ТабПозиции[[#This Row],[item]]="По штрихкоду",ТабПозиции[[#This Row],[item]]="Посылка"),ТабПозиции[[#This Row],[deliverySumm]]+ТабПозиции[[#This Row],[deliveryPost]],SUM(N849:P849))</f>
        <v>626</v>
      </c>
      <c r="R849" s="41">
        <v>626</v>
      </c>
      <c r="S849" s="46">
        <f>ТабПозиции[[#This Row],[totalSumm]]-ТабПозиции[[#This Row],[payment]]</f>
        <v>0</v>
      </c>
      <c r="T849" s="18" t="s">
        <v>960</v>
      </c>
      <c r="U849" s="40" t="s">
        <v>545</v>
      </c>
      <c r="V849" s="40" t="s">
        <v>545</v>
      </c>
      <c r="W849" s="40" t="s">
        <v>545</v>
      </c>
      <c r="X849" s="3"/>
      <c r="Y849"/>
    </row>
    <row r="850" spans="1:25" hidden="1" x14ac:dyDescent="0.25">
      <c r="A850" s="10">
        <v>241</v>
      </c>
      <c r="B850" s="1">
        <f>IFERROR(VLOOKUP(ТабПозиции[[#This Row],[orderNum]],ТабЗаказы[#Data],MATCH(B$7,ТабЗаказы[#Headers],0),0),"")</f>
        <v>45541</v>
      </c>
      <c r="C850" t="str">
        <f>MONTH(ТабПозиции[[#This Row],[date]])&amp;"/"&amp;YEAR(ТабПозиции[[#This Row],[date]])</f>
        <v>9/2024</v>
      </c>
      <c r="D850" s="1" t="str">
        <f>IFERROR(VLOOKUP(ТабПозиции[[#This Row],[orderNum]],ТабЗаказы[#Data],MATCH(D$7,ТабЗаказы[#Headers],0),0),"")</f>
        <v/>
      </c>
      <c r="E850" s="1" t="str">
        <f>IFERROR(VLOOKUP(ТабПозиции[[#This Row],[orderNum]],ТабЗаказы[#Data],MATCH(E$7,ТабЗаказы[#Headers],0),0),"")</f>
        <v/>
      </c>
      <c r="F850" s="16" t="s">
        <v>1328</v>
      </c>
      <c r="G850" s="40" t="s">
        <v>545</v>
      </c>
      <c r="I850" s="18">
        <v>45545</v>
      </c>
      <c r="J850" s="10">
        <v>1</v>
      </c>
      <c r="K850" s="10">
        <v>165</v>
      </c>
      <c r="L850">
        <v>165</v>
      </c>
      <c r="M850" s="10">
        <v>168</v>
      </c>
      <c r="N850">
        <f t="shared" si="14"/>
        <v>168</v>
      </c>
      <c r="P8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Row],[orderNum]],ТабПозиции[orderSumm])&gt;1500),ABS(N850*VLOOKUP(ТабПозиции[[#This Row],[orderNum]],ТабЗаказы[#Data],MATCH("Percent",ТабЗаказы[#Headers],0),0))/100,200/COUNTIF(ТабПозиции[orderNum],ТабПозиции[[#This Row],[orderNum]])),0),"")</f>
        <v>25</v>
      </c>
      <c r="Q850">
        <f>IF(OR(ТабПозиции[[#This Row],[item]]="По штрихкоду",ТабПозиции[[#This Row],[item]]="Посылка"),ТабПозиции[[#This Row],[deliverySumm]]+ТабПозиции[[#This Row],[deliveryPost]],SUM(N850:P850))</f>
        <v>193</v>
      </c>
      <c r="R850" s="41">
        <v>193</v>
      </c>
      <c r="S850" s="46">
        <f>ТабПозиции[[#This Row],[totalSumm]]-ТабПозиции[[#This Row],[payment]]</f>
        <v>0</v>
      </c>
      <c r="T850" s="18" t="s">
        <v>960</v>
      </c>
      <c r="U850" s="40" t="s">
        <v>545</v>
      </c>
      <c r="V850" s="40" t="s">
        <v>545</v>
      </c>
      <c r="W850" s="40" t="s">
        <v>545</v>
      </c>
      <c r="X850" s="3"/>
      <c r="Y850"/>
    </row>
    <row r="851" spans="1:25" hidden="1" x14ac:dyDescent="0.25">
      <c r="A851" s="10">
        <v>241</v>
      </c>
      <c r="B851" s="1">
        <f>IFERROR(VLOOKUP(ТабПозиции[[#This Row],[orderNum]],ТабЗаказы[#Data],MATCH(B$7,ТабЗаказы[#Headers],0),0),"")</f>
        <v>45541</v>
      </c>
      <c r="C851" t="str">
        <f>MONTH(ТабПозиции[[#This Row],[date]])&amp;"/"&amp;YEAR(ТабПозиции[[#This Row],[date]])</f>
        <v>9/2024</v>
      </c>
      <c r="D851" s="1" t="str">
        <f>IFERROR(VLOOKUP(ТабПозиции[[#This Row],[orderNum]],ТабЗаказы[#Data],MATCH(D$7,ТабЗаказы[#Headers],0),0),"")</f>
        <v/>
      </c>
      <c r="E851" s="1" t="str">
        <f>IFERROR(VLOOKUP(ТабПозиции[[#This Row],[orderNum]],ТабЗаказы[#Data],MATCH(E$7,ТабЗаказы[#Headers],0),0),"")</f>
        <v/>
      </c>
      <c r="F851" s="16" t="s">
        <v>1329</v>
      </c>
      <c r="G851" s="40" t="s">
        <v>545</v>
      </c>
      <c r="I851" s="18">
        <v>45544</v>
      </c>
      <c r="J851" s="10">
        <v>1</v>
      </c>
      <c r="K851" s="10">
        <v>359</v>
      </c>
      <c r="L851">
        <v>359</v>
      </c>
      <c r="M851" s="10">
        <v>359</v>
      </c>
      <c r="N851">
        <f t="shared" si="14"/>
        <v>359</v>
      </c>
      <c r="P8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Row],[orderNum]],ТабПозиции[orderSumm])&gt;1500),ABS(N851*VLOOKUP(ТабПозиции[[#This Row],[orderNum]],ТабЗаказы[#Data],MATCH("Percent",ТабЗаказы[#Headers],0),0))/100,200/COUNTIF(ТабПозиции[orderNum],ТабПозиции[[#This Row],[orderNum]])),0),"")</f>
        <v>54</v>
      </c>
      <c r="Q851">
        <f>IF(OR(ТабПозиции[[#This Row],[item]]="По штрихкоду",ТабПозиции[[#This Row],[item]]="Посылка"),ТабПозиции[[#This Row],[deliverySumm]]+ТабПозиции[[#This Row],[deliveryPost]],SUM(N851:P851))</f>
        <v>413</v>
      </c>
      <c r="R851" s="41">
        <v>413</v>
      </c>
      <c r="S851" s="46">
        <f>ТабПозиции[[#This Row],[totalSumm]]-ТабПозиции[[#This Row],[payment]]</f>
        <v>0</v>
      </c>
      <c r="T851" s="18" t="s">
        <v>960</v>
      </c>
      <c r="U851" s="40" t="s">
        <v>545</v>
      </c>
      <c r="V851" s="40" t="s">
        <v>545</v>
      </c>
      <c r="W851" s="40" t="s">
        <v>545</v>
      </c>
      <c r="X851" s="3"/>
      <c r="Y851"/>
    </row>
    <row r="852" spans="1:25" hidden="1" x14ac:dyDescent="0.25">
      <c r="A852" s="10">
        <v>242</v>
      </c>
      <c r="B852" s="1">
        <f>IFERROR(VLOOKUP(ТабПозиции[[#This Row],[orderNum]],ТабЗаказы[#Data],MATCH(B$7,ТабЗаказы[#Headers],0),0),"")</f>
        <v>45543</v>
      </c>
      <c r="C852" t="str">
        <f>MONTH(ТабПозиции[[#This Row],[date]])&amp;"/"&amp;YEAR(ТабПозиции[[#This Row],[date]])</f>
        <v>9/2024</v>
      </c>
      <c r="D852" s="1" t="str">
        <f>IFERROR(VLOOKUP(ТабПозиции[[#This Row],[orderNum]],ТабЗаказы[#Data],MATCH(D$7,ТабЗаказы[#Headers],0),0),"")</f>
        <v/>
      </c>
      <c r="E852" s="1" t="str">
        <f>IFERROR(VLOOKUP(ТабПозиции[[#This Row],[orderNum]],ТабЗаказы[#Data],MATCH(E$7,ТабЗаказы[#Headers],0),0),"")</f>
        <v/>
      </c>
      <c r="F852" s="16" t="s">
        <v>1330</v>
      </c>
      <c r="G852" s="40" t="s">
        <v>545</v>
      </c>
      <c r="I852" s="18">
        <v>45546</v>
      </c>
      <c r="J852" s="10">
        <v>1</v>
      </c>
      <c r="K852" s="10">
        <v>1324</v>
      </c>
      <c r="L852">
        <v>1324</v>
      </c>
      <c r="M852" s="10">
        <v>1464</v>
      </c>
      <c r="N852">
        <f t="shared" si="14"/>
        <v>1464</v>
      </c>
      <c r="P8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Row],[orderNum]],ТабПозиции[orderSumm])&gt;1500),ABS(N852*VLOOKUP(ТабПозиции[[#This Row],[orderNum]],ТабЗаказы[#Data],MATCH("Percent",ТабЗаказы[#Headers],0),0))/100,200/COUNTIF(ТабПозиции[orderNum],ТабПозиции[[#This Row],[orderNum]])),0),"")</f>
        <v>220</v>
      </c>
      <c r="Q852">
        <f>IF(OR(ТабПозиции[[#This Row],[item]]="По штрихкоду",ТабПозиции[[#This Row],[item]]="Посылка"),ТабПозиции[[#This Row],[deliverySumm]]+ТабПозиции[[#This Row],[deliveryPost]],SUM(N852:P852))</f>
        <v>1684</v>
      </c>
      <c r="R852" s="41">
        <v>1684</v>
      </c>
      <c r="S852" s="46">
        <f>ТабПозиции[[#This Row],[totalSumm]]-ТабПозиции[[#This Row],[payment]]</f>
        <v>0</v>
      </c>
      <c r="T852" s="18" t="s">
        <v>960</v>
      </c>
      <c r="U852" s="40" t="s">
        <v>545</v>
      </c>
      <c r="V852" s="40" t="s">
        <v>545</v>
      </c>
      <c r="W852" s="40" t="s">
        <v>545</v>
      </c>
      <c r="X852" s="3"/>
      <c r="Y852"/>
    </row>
    <row r="853" spans="1:25" hidden="1" x14ac:dyDescent="0.25">
      <c r="A853" s="10">
        <v>242</v>
      </c>
      <c r="B853" s="1">
        <f>IFERROR(VLOOKUP(ТабПозиции[[#This Row],[orderNum]],ТабЗаказы[#Data],MATCH(B$7,ТабЗаказы[#Headers],0),0),"")</f>
        <v>45543</v>
      </c>
      <c r="C853" t="str">
        <f>MONTH(ТабПозиции[[#This Row],[date]])&amp;"/"&amp;YEAR(ТабПозиции[[#This Row],[date]])</f>
        <v>9/2024</v>
      </c>
      <c r="D853" s="1" t="str">
        <f>IFERROR(VLOOKUP(ТабПозиции[[#This Row],[orderNum]],ТабЗаказы[#Data],MATCH(D$7,ТабЗаказы[#Headers],0),0),"")</f>
        <v/>
      </c>
      <c r="E853" s="1" t="str">
        <f>IFERROR(VLOOKUP(ТабПозиции[[#This Row],[orderNum]],ТабЗаказы[#Data],MATCH(E$7,ТабЗаказы[#Headers],0),0),"")</f>
        <v/>
      </c>
      <c r="F853" s="16" t="s">
        <v>1287</v>
      </c>
      <c r="G853" s="40" t="s">
        <v>545</v>
      </c>
      <c r="I853" s="18">
        <v>45546</v>
      </c>
      <c r="J853" s="10">
        <v>1</v>
      </c>
      <c r="K853" s="10">
        <v>693</v>
      </c>
      <c r="L853">
        <v>693</v>
      </c>
      <c r="M853" s="10">
        <v>780</v>
      </c>
      <c r="N853">
        <f t="shared" si="14"/>
        <v>780</v>
      </c>
      <c r="P8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Row],[orderNum]],ТабПозиции[orderSumm])&gt;1500),ABS(N853*VLOOKUP(ТабПозиции[[#This Row],[orderNum]],ТабЗаказы[#Data],MATCH("Percent",ТабЗаказы[#Headers],0),0))/100,200/COUNTIF(ТабПозиции[orderNum],ТабПозиции[[#This Row],[orderNum]])),0),"")</f>
        <v>117</v>
      </c>
      <c r="Q853">
        <f>IF(OR(ТабПозиции[[#This Row],[item]]="По штрихкоду",ТабПозиции[[#This Row],[item]]="Посылка"),ТабПозиции[[#This Row],[deliverySumm]]+ТабПозиции[[#This Row],[deliveryPost]],SUM(N853:P853))</f>
        <v>897</v>
      </c>
      <c r="R853" s="41">
        <v>897</v>
      </c>
      <c r="S853" s="46">
        <f>ТабПозиции[[#This Row],[totalSumm]]-ТабПозиции[[#This Row],[payment]]</f>
        <v>0</v>
      </c>
      <c r="T853" s="18" t="s">
        <v>960</v>
      </c>
      <c r="U853" s="40" t="s">
        <v>545</v>
      </c>
      <c r="V853" s="40" t="s">
        <v>545</v>
      </c>
      <c r="W853" s="40" t="s">
        <v>545</v>
      </c>
      <c r="X853" s="3"/>
      <c r="Y853"/>
    </row>
    <row r="854" spans="1:25" hidden="1" x14ac:dyDescent="0.25">
      <c r="A854" s="10">
        <v>242</v>
      </c>
      <c r="B854" s="1">
        <f>IFERROR(VLOOKUP(ТабПозиции[[#This Row],[orderNum]],ТабЗаказы[#Data],MATCH(B$7,ТабЗаказы[#Headers],0),0),"")</f>
        <v>45543</v>
      </c>
      <c r="C854" t="str">
        <f>MONTH(ТабПозиции[[#This Row],[date]])&amp;"/"&amp;YEAR(ТабПозиции[[#This Row],[date]])</f>
        <v>9/2024</v>
      </c>
      <c r="D854" s="1" t="str">
        <f>IFERROR(VLOOKUP(ТабПозиции[[#This Row],[orderNum]],ТабЗаказы[#Data],MATCH(D$7,ТабЗаказы[#Headers],0),0),"")</f>
        <v/>
      </c>
      <c r="E854" s="1" t="str">
        <f>IFERROR(VLOOKUP(ТабПозиции[[#This Row],[orderNum]],ТабЗаказы[#Data],MATCH(E$7,ТабЗаказы[#Headers],0),0),"")</f>
        <v/>
      </c>
      <c r="F854" s="16" t="s">
        <v>1331</v>
      </c>
      <c r="G854" s="40" t="s">
        <v>545</v>
      </c>
      <c r="I854" s="18">
        <v>45547</v>
      </c>
      <c r="J854" s="10">
        <v>1</v>
      </c>
      <c r="K854" s="10">
        <v>366</v>
      </c>
      <c r="L854">
        <v>366</v>
      </c>
      <c r="M854" s="10">
        <v>373</v>
      </c>
      <c r="N854">
        <f t="shared" si="14"/>
        <v>373</v>
      </c>
      <c r="P8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Row],[orderNum]],ТабПозиции[orderSumm])&gt;1500),ABS(N854*VLOOKUP(ТабПозиции[[#This Row],[orderNum]],ТабЗаказы[#Data],MATCH("Percent",ТабЗаказы[#Headers],0),0))/100,200/COUNTIF(ТабПозиции[orderNum],ТабПозиции[[#This Row],[orderNum]])),0),"")</f>
        <v>56</v>
      </c>
      <c r="Q854">
        <f>IF(OR(ТабПозиции[[#This Row],[item]]="По штрихкоду",ТабПозиции[[#This Row],[item]]="Посылка"),ТабПозиции[[#This Row],[deliverySumm]]+ТабПозиции[[#This Row],[deliveryPost]],SUM(N854:P854))</f>
        <v>429</v>
      </c>
      <c r="R854" s="41">
        <v>429</v>
      </c>
      <c r="S854" s="46">
        <f>ТабПозиции[[#This Row],[totalSumm]]-ТабПозиции[[#This Row],[payment]]</f>
        <v>0</v>
      </c>
      <c r="T854" s="18" t="s">
        <v>960</v>
      </c>
      <c r="U854" s="40" t="s">
        <v>545</v>
      </c>
      <c r="V854" s="40" t="s">
        <v>545</v>
      </c>
      <c r="W854" s="40" t="s">
        <v>545</v>
      </c>
      <c r="X854" s="3"/>
      <c r="Y854"/>
    </row>
    <row r="855" spans="1:25" hidden="1" x14ac:dyDescent="0.25">
      <c r="A855" s="10">
        <v>243</v>
      </c>
      <c r="B855" s="1">
        <f>IFERROR(VLOOKUP(ТабПозиции[[#This Row],[orderNum]],ТабЗаказы[#Data],MATCH(B$7,ТабЗаказы[#Headers],0),0),"")</f>
        <v>45543</v>
      </c>
      <c r="C855" t="str">
        <f>MONTH(ТабПозиции[[#This Row],[date]])&amp;"/"&amp;YEAR(ТабПозиции[[#This Row],[date]])</f>
        <v>9/2024</v>
      </c>
      <c r="D855" s="1" t="str">
        <f>IFERROR(VLOOKUP(ТабПозиции[[#This Row],[orderNum]],ТабЗаказы[#Data],MATCH(D$7,ТабЗаказы[#Headers],0),0),"")</f>
        <v/>
      </c>
      <c r="E855" s="1" t="str">
        <f>IFERROR(VLOOKUP(ТабПозиции[[#This Row],[orderNum]],ТабЗаказы[#Data],MATCH(E$7,ТабЗаказы[#Headers],0),0),"")</f>
        <v/>
      </c>
      <c r="F855" s="16" t="s">
        <v>1332</v>
      </c>
      <c r="G855" s="40" t="s">
        <v>545</v>
      </c>
      <c r="I855" s="18">
        <v>45545</v>
      </c>
      <c r="J855" s="10">
        <v>1</v>
      </c>
      <c r="K855" s="10">
        <v>978</v>
      </c>
      <c r="L855">
        <v>978</v>
      </c>
      <c r="M855" s="10">
        <v>1030</v>
      </c>
      <c r="N855">
        <f t="shared" si="14"/>
        <v>1030</v>
      </c>
      <c r="P8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Row],[orderNum]],ТабПозиции[orderSumm])&gt;1500),ABS(N855*VLOOKUP(ТабПозиции[[#This Row],[orderNum]],ТабЗаказы[#Data],MATCH("Percent",ТабЗаказы[#Headers],0),0))/100,200/COUNTIF(ТабПозиции[orderNum],ТабПозиции[[#This Row],[orderNum]])),0),"")</f>
        <v>155</v>
      </c>
      <c r="Q855">
        <f>IF(OR(ТабПозиции[[#This Row],[item]]="По штрихкоду",ТабПозиции[[#This Row],[item]]="Посылка"),ТабПозиции[[#This Row],[deliverySumm]]+ТабПозиции[[#This Row],[deliveryPost]],SUM(N855:P855))</f>
        <v>1185</v>
      </c>
      <c r="R855" s="41">
        <v>1185</v>
      </c>
      <c r="S855" s="46">
        <f>ТабПозиции[[#This Row],[totalSumm]]-ТабПозиции[[#This Row],[payment]]</f>
        <v>0</v>
      </c>
      <c r="T855" s="18" t="s">
        <v>970</v>
      </c>
      <c r="U855" s="40" t="s">
        <v>545</v>
      </c>
      <c r="V855" s="40" t="s">
        <v>545</v>
      </c>
      <c r="W855" s="40" t="s">
        <v>545</v>
      </c>
      <c r="X855" s="3"/>
      <c r="Y855"/>
    </row>
    <row r="856" spans="1:25" hidden="1" x14ac:dyDescent="0.25">
      <c r="A856" s="10">
        <v>243</v>
      </c>
      <c r="B856" s="1">
        <f>IFERROR(VLOOKUP(ТабПозиции[[#This Row],[orderNum]],ТабЗаказы[#Data],MATCH(B$7,ТабЗаказы[#Headers],0),0),"")</f>
        <v>45543</v>
      </c>
      <c r="C856" t="str">
        <f>MONTH(ТабПозиции[[#This Row],[date]])&amp;"/"&amp;YEAR(ТабПозиции[[#This Row],[date]])</f>
        <v>9/2024</v>
      </c>
      <c r="D856" s="1" t="str">
        <f>IFERROR(VLOOKUP(ТабПозиции[[#This Row],[orderNum]],ТабЗаказы[#Data],MATCH(D$7,ТабЗаказы[#Headers],0),0),"")</f>
        <v/>
      </c>
      <c r="E856" s="1" t="str">
        <f>IFERROR(VLOOKUP(ТабПозиции[[#This Row],[orderNum]],ТабЗаказы[#Data],MATCH(E$7,ТабЗаказы[#Headers],0),0),"")</f>
        <v/>
      </c>
      <c r="F856" s="16" t="s">
        <v>1333</v>
      </c>
      <c r="G856" s="40" t="s">
        <v>545</v>
      </c>
      <c r="I856" s="18">
        <v>45545</v>
      </c>
      <c r="J856" s="10">
        <v>1</v>
      </c>
      <c r="K856" s="10">
        <v>676</v>
      </c>
      <c r="L856">
        <v>676</v>
      </c>
      <c r="M856" s="10">
        <v>712</v>
      </c>
      <c r="N856">
        <f t="shared" si="14"/>
        <v>712</v>
      </c>
      <c r="P8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Row],[orderNum]],ТабПозиции[orderSumm])&gt;1500),ABS(N856*VLOOKUP(ТабПозиции[[#This Row],[orderNum]],ТабЗаказы[#Data],MATCH("Percent",ТабЗаказы[#Headers],0),0))/100,200/COUNTIF(ТабПозиции[orderNum],ТабПозиции[[#This Row],[orderNum]])),0),"")</f>
        <v>107</v>
      </c>
      <c r="Q856">
        <f>IF(OR(ТабПозиции[[#This Row],[item]]="По штрихкоду",ТабПозиции[[#This Row],[item]]="Посылка"),ТабПозиции[[#This Row],[deliverySumm]]+ТабПозиции[[#This Row],[deliveryPost]],SUM(N856:P856))</f>
        <v>819</v>
      </c>
      <c r="R856" s="41">
        <v>819</v>
      </c>
      <c r="S856" s="46">
        <f>ТабПозиции[[#This Row],[totalSumm]]-ТабПозиции[[#This Row],[payment]]</f>
        <v>0</v>
      </c>
      <c r="T856" s="18" t="s">
        <v>970</v>
      </c>
      <c r="U856" s="40" t="s">
        <v>545</v>
      </c>
      <c r="V856" s="40" t="s">
        <v>545</v>
      </c>
      <c r="W856" s="40" t="s">
        <v>545</v>
      </c>
      <c r="X856" s="3"/>
      <c r="Y856"/>
    </row>
    <row r="857" spans="1:25" hidden="1" x14ac:dyDescent="0.25">
      <c r="A857" s="10">
        <v>243</v>
      </c>
      <c r="B857" s="1">
        <f>IFERROR(VLOOKUP(ТабПозиции[[#This Row],[orderNum]],ТабЗаказы[#Data],MATCH(B$7,ТабЗаказы[#Headers],0),0),"")</f>
        <v>45543</v>
      </c>
      <c r="C857" t="str">
        <f>MONTH(ТабПозиции[[#This Row],[date]])&amp;"/"&amp;YEAR(ТабПозиции[[#This Row],[date]])</f>
        <v>9/2024</v>
      </c>
      <c r="D857" s="1" t="str">
        <f>IFERROR(VLOOKUP(ТабПозиции[[#This Row],[orderNum]],ТабЗаказы[#Data],MATCH(D$7,ТабЗаказы[#Headers],0),0),"")</f>
        <v/>
      </c>
      <c r="E857" s="1" t="str">
        <f>IFERROR(VLOOKUP(ТабПозиции[[#This Row],[orderNum]],ТабЗаказы[#Data],MATCH(E$7,ТабЗаказы[#Headers],0),0),"")</f>
        <v/>
      </c>
      <c r="F857" s="16" t="s">
        <v>1334</v>
      </c>
      <c r="G857" s="40" t="s">
        <v>545</v>
      </c>
      <c r="I857" s="18">
        <v>45545</v>
      </c>
      <c r="J857" s="10">
        <v>0</v>
      </c>
      <c r="K857" s="10">
        <v>517</v>
      </c>
      <c r="L857">
        <v>0</v>
      </c>
      <c r="M857" s="10">
        <v>545</v>
      </c>
      <c r="N857">
        <f t="shared" si="14"/>
        <v>0</v>
      </c>
      <c r="P8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Row],[orderNum]],ТабПозиции[orderSumm])&gt;1500),ABS(N857*VLOOKUP(ТабПозиции[[#This Row],[orderNum]],ТабЗаказы[#Data],MATCH("Percent",ТабЗаказы[#Headers],0),0))/100,200/COUNTIF(ТабПозиции[orderNum],ТабПозиции[[#This Row],[orderNum]])),0),"")</f>
        <v>0</v>
      </c>
      <c r="Q857">
        <f>IF(OR(ТабПозиции[[#This Row],[item]]="По штрихкоду",ТабПозиции[[#This Row],[item]]="Посылка"),ТабПозиции[[#This Row],[deliverySumm]]+ТабПозиции[[#This Row],[deliveryPost]],SUM(N857:P857))</f>
        <v>0</v>
      </c>
      <c r="R857" s="41">
        <v>0</v>
      </c>
      <c r="S857" s="46">
        <f>ТабПозиции[[#This Row],[totalSumm]]-ТабПозиции[[#This Row],[payment]]</f>
        <v>0</v>
      </c>
      <c r="T857" s="18" t="s">
        <v>970</v>
      </c>
      <c r="U857" s="40" t="s">
        <v>545</v>
      </c>
      <c r="V857" s="40" t="s">
        <v>545</v>
      </c>
      <c r="W857" s="40" t="s">
        <v>545</v>
      </c>
      <c r="X857" s="3"/>
      <c r="Y857"/>
    </row>
    <row r="858" spans="1:25" hidden="1" x14ac:dyDescent="0.25">
      <c r="A858" s="10">
        <v>243</v>
      </c>
      <c r="B858" s="1">
        <f>IFERROR(VLOOKUP(ТабПозиции[[#This Row],[orderNum]],ТабЗаказы[#Data],MATCH(B$7,ТабЗаказы[#Headers],0),0),"")</f>
        <v>45543</v>
      </c>
      <c r="C858" t="str">
        <f>MONTH(ТабПозиции[[#This Row],[date]])&amp;"/"&amp;YEAR(ТабПозиции[[#This Row],[date]])</f>
        <v>9/2024</v>
      </c>
      <c r="D858" s="1" t="str">
        <f>IFERROR(VLOOKUP(ТабПозиции[[#This Row],[orderNum]],ТабЗаказы[#Data],MATCH(D$7,ТабЗаказы[#Headers],0),0),"")</f>
        <v/>
      </c>
      <c r="E858" s="1" t="str">
        <f>IFERROR(VLOOKUP(ТабПозиции[[#This Row],[orderNum]],ТабЗаказы[#Data],MATCH(E$7,ТабЗаказы[#Headers],0),0),"")</f>
        <v/>
      </c>
      <c r="F858" s="16" t="s">
        <v>1335</v>
      </c>
      <c r="G858" s="40" t="s">
        <v>545</v>
      </c>
      <c r="I858" s="18">
        <v>45545</v>
      </c>
      <c r="J858" s="10">
        <v>1</v>
      </c>
      <c r="K858" s="10">
        <v>2547</v>
      </c>
      <c r="L858">
        <v>2547</v>
      </c>
      <c r="M858" s="10">
        <v>2682</v>
      </c>
      <c r="N858">
        <f t="shared" si="14"/>
        <v>2682</v>
      </c>
      <c r="P8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Row],[orderNum]],ТабПозиции[orderSumm])&gt;1500),ABS(N858*VLOOKUP(ТабПозиции[[#This Row],[orderNum]],ТабЗаказы[#Data],MATCH("Percent",ТабЗаказы[#Headers],0),0))/100,200/COUNTIF(ТабПозиции[orderNum],ТабПозиции[[#This Row],[orderNum]])),0),"")</f>
        <v>402</v>
      </c>
      <c r="Q858">
        <f>IF(OR(ТабПозиции[[#This Row],[item]]="По штрихкоду",ТабПозиции[[#This Row],[item]]="Посылка"),ТабПозиции[[#This Row],[deliverySumm]]+ТабПозиции[[#This Row],[deliveryPost]],SUM(N858:P858))</f>
        <v>3084</v>
      </c>
      <c r="R858" s="41">
        <v>3084</v>
      </c>
      <c r="S858" s="46">
        <f>ТабПозиции[[#This Row],[totalSumm]]-ТабПозиции[[#This Row],[payment]]</f>
        <v>0</v>
      </c>
      <c r="T858" s="18" t="s">
        <v>970</v>
      </c>
      <c r="U858" s="40" t="s">
        <v>545</v>
      </c>
      <c r="V858" s="40" t="s">
        <v>545</v>
      </c>
      <c r="W858" s="40" t="s">
        <v>545</v>
      </c>
      <c r="X858" s="3"/>
      <c r="Y858"/>
    </row>
    <row r="859" spans="1:25" hidden="1" x14ac:dyDescent="0.25">
      <c r="A859" s="10">
        <v>243</v>
      </c>
      <c r="B859" s="1">
        <f>IFERROR(VLOOKUP(ТабПозиции[[#This Row],[orderNum]],ТабЗаказы[#Data],MATCH(B$7,ТабЗаказы[#Headers],0),0),"")</f>
        <v>45543</v>
      </c>
      <c r="C859" t="str">
        <f>MONTH(ТабПозиции[[#This Row],[date]])&amp;"/"&amp;YEAR(ТабПозиции[[#This Row],[date]])</f>
        <v>9/2024</v>
      </c>
      <c r="D859" s="1" t="str">
        <f>IFERROR(VLOOKUP(ТабПозиции[[#This Row],[orderNum]],ТабЗаказы[#Data],MATCH(D$7,ТабЗаказы[#Headers],0),0),"")</f>
        <v/>
      </c>
      <c r="E859" s="1" t="str">
        <f>IFERROR(VLOOKUP(ТабПозиции[[#This Row],[orderNum]],ТабЗаказы[#Data],MATCH(E$7,ТабЗаказы[#Headers],0),0),"")</f>
        <v/>
      </c>
      <c r="F859" s="16" t="s">
        <v>1336</v>
      </c>
      <c r="G859" s="40" t="s">
        <v>545</v>
      </c>
      <c r="I859" s="18">
        <v>45546</v>
      </c>
      <c r="J859" s="10">
        <v>1</v>
      </c>
      <c r="K859" s="10">
        <v>557</v>
      </c>
      <c r="L859">
        <v>557</v>
      </c>
      <c r="M859" s="10">
        <v>587</v>
      </c>
      <c r="N859">
        <f t="shared" si="14"/>
        <v>587</v>
      </c>
      <c r="P8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Row],[orderNum]],ТабПозиции[orderSumm])&gt;1500),ABS(N859*VLOOKUP(ТабПозиции[[#This Row],[orderNum]],ТабЗаказы[#Data],MATCH("Percent",ТабЗаказы[#Headers],0),0))/100,200/COUNTIF(ТабПозиции[orderNum],ТабПозиции[[#This Row],[orderNum]])),0),"")</f>
        <v>88</v>
      </c>
      <c r="Q859">
        <f>IF(OR(ТабПозиции[[#This Row],[item]]="По штрихкоду",ТабПозиции[[#This Row],[item]]="Посылка"),ТабПозиции[[#This Row],[deliverySumm]]+ТабПозиции[[#This Row],[deliveryPost]],SUM(N859:P859))</f>
        <v>675</v>
      </c>
      <c r="R859" s="41">
        <v>675</v>
      </c>
      <c r="S859" s="46">
        <f>ТабПозиции[[#This Row],[totalSumm]]-ТабПозиции[[#This Row],[payment]]</f>
        <v>0</v>
      </c>
      <c r="T859" s="18" t="s">
        <v>970</v>
      </c>
      <c r="U859" s="40" t="s">
        <v>545</v>
      </c>
      <c r="V859" s="40" t="s">
        <v>545</v>
      </c>
      <c r="W859" s="40" t="s">
        <v>545</v>
      </c>
      <c r="X859" s="3"/>
      <c r="Y859"/>
    </row>
    <row r="860" spans="1:25" hidden="1" x14ac:dyDescent="0.25">
      <c r="A860" s="10">
        <v>244</v>
      </c>
      <c r="B860" s="1">
        <f>IFERROR(VLOOKUP(ТабПозиции[[#This Row],[orderNum]],ТабЗаказы[#Data],MATCH(B$7,ТабЗаказы[#Headers],0),0),"")</f>
        <v>45544</v>
      </c>
      <c r="C860" t="str">
        <f>MONTH(ТабПозиции[[#This Row],[date]])&amp;"/"&amp;YEAR(ТабПозиции[[#This Row],[date]])</f>
        <v>9/2024</v>
      </c>
      <c r="D860" s="1" t="str">
        <f>IFERROR(VLOOKUP(ТабПозиции[[#This Row],[orderNum]],ТабЗаказы[#Data],MATCH(D$7,ТабЗаказы[#Headers],0),0),"")</f>
        <v/>
      </c>
      <c r="E860" s="1" t="str">
        <f>IFERROR(VLOOKUP(ТабПозиции[[#This Row],[orderNum]],ТабЗаказы[#Data],MATCH(E$7,ТабЗаказы[#Headers],0),0),"")</f>
        <v/>
      </c>
      <c r="F860" s="16" t="s">
        <v>1337</v>
      </c>
      <c r="G860" s="40" t="s">
        <v>545</v>
      </c>
      <c r="I860" s="18">
        <v>45546</v>
      </c>
      <c r="J860" s="10">
        <v>1</v>
      </c>
      <c r="K860" s="10">
        <v>2976</v>
      </c>
      <c r="L860">
        <v>2976</v>
      </c>
      <c r="M860" s="10">
        <v>3132</v>
      </c>
      <c r="N860">
        <f t="shared" ref="N860:N922" si="15">M860*J860</f>
        <v>3132</v>
      </c>
      <c r="P8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Row],[orderNum]],ТабПозиции[orderSumm])&gt;1500),ABS(N860*VLOOKUP(ТабПозиции[[#This Row],[orderNum]],ТабЗаказы[#Data],MATCH("Percent",ТабЗаказы[#Headers],0),0))/100,200/COUNTIF(ТабПозиции[orderNum],ТабПозиции[[#This Row],[orderNum]])),0),"")</f>
        <v>470</v>
      </c>
      <c r="Q860">
        <f>IF(OR(ТабПозиции[[#This Row],[item]]="По штрихкоду",ТабПозиции[[#This Row],[item]]="Посылка"),ТабПозиции[[#This Row],[deliverySumm]]+ТабПозиции[[#This Row],[deliveryPost]],SUM(N860:P860))</f>
        <v>3602</v>
      </c>
      <c r="R860" s="41">
        <v>3602</v>
      </c>
      <c r="S860" s="46">
        <f>ТабПозиции[[#This Row],[totalSumm]]-ТабПозиции[[#This Row],[payment]]</f>
        <v>0</v>
      </c>
      <c r="T860" s="18" t="s">
        <v>960</v>
      </c>
      <c r="U860" s="40" t="s">
        <v>545</v>
      </c>
      <c r="V860" s="40" t="s">
        <v>545</v>
      </c>
      <c r="W860" s="40" t="s">
        <v>545</v>
      </c>
      <c r="X860" s="3"/>
      <c r="Y860"/>
    </row>
    <row r="861" spans="1:25" hidden="1" x14ac:dyDescent="0.25">
      <c r="A861" s="10">
        <v>245</v>
      </c>
      <c r="B861" s="1">
        <f>IFERROR(VLOOKUP(ТабПозиции[[#This Row],[orderNum]],ТабЗаказы[#Data],MATCH(B$7,ТабЗаказы[#Headers],0),0),"")</f>
        <v>45546</v>
      </c>
      <c r="C861" t="str">
        <f>MONTH(ТабПозиции[[#This Row],[date]])&amp;"/"&amp;YEAR(ТабПозиции[[#This Row],[date]])</f>
        <v>9/2024</v>
      </c>
      <c r="D861" s="1" t="str">
        <f>IFERROR(VLOOKUP(ТабПозиции[[#This Row],[orderNum]],ТабЗаказы[#Data],MATCH(D$7,ТабЗаказы[#Headers],0),0),"")</f>
        <v/>
      </c>
      <c r="E861" s="1" t="str">
        <f>IFERROR(VLOOKUP(ТабПозиции[[#This Row],[orderNum]],ТабЗаказы[#Data],MATCH(E$7,ТабЗаказы[#Headers],0),0),"")</f>
        <v/>
      </c>
      <c r="F861" s="16" t="s">
        <v>1234</v>
      </c>
      <c r="G861" s="40" t="s">
        <v>545</v>
      </c>
      <c r="I861" s="18">
        <v>45547</v>
      </c>
      <c r="J861" s="10">
        <v>1</v>
      </c>
      <c r="K861" s="10">
        <v>1976</v>
      </c>
      <c r="L861">
        <v>1976</v>
      </c>
      <c r="M861" s="10">
        <v>2080</v>
      </c>
      <c r="N861">
        <f t="shared" si="15"/>
        <v>2080</v>
      </c>
      <c r="P8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Row],[orderNum]],ТабПозиции[orderSumm])&gt;1500),ABS(N861*VLOOKUP(ТабПозиции[[#This Row],[orderNum]],ТабЗаказы[#Data],MATCH("Percent",ТабЗаказы[#Headers],0),0))/100,200/COUNTIF(ТабПозиции[orderNum],ТабПозиции[[#This Row],[orderNum]])),0),"")</f>
        <v>312</v>
      </c>
      <c r="Q861">
        <f>IF(OR(ТабПозиции[[#This Row],[item]]="По штрихкоду",ТабПозиции[[#This Row],[item]]="Посылка"),ТабПозиции[[#This Row],[deliverySumm]]+ТабПозиции[[#This Row],[deliveryPost]],SUM(N861:P861))</f>
        <v>2392</v>
      </c>
      <c r="R861" s="41">
        <v>2392</v>
      </c>
      <c r="S861" s="46">
        <f>ТабПозиции[[#This Row],[totalSumm]]-ТабПозиции[[#This Row],[payment]]</f>
        <v>0</v>
      </c>
      <c r="T861" s="18" t="s">
        <v>970</v>
      </c>
      <c r="U861" s="40" t="s">
        <v>545</v>
      </c>
      <c r="V861" s="40" t="s">
        <v>545</v>
      </c>
      <c r="W861" s="40" t="s">
        <v>545</v>
      </c>
      <c r="X861" s="3"/>
      <c r="Y861"/>
    </row>
    <row r="862" spans="1:25" hidden="1" x14ac:dyDescent="0.25">
      <c r="A862" s="10">
        <v>245</v>
      </c>
      <c r="B862" s="1">
        <f>IFERROR(VLOOKUP(ТабПозиции[[#This Row],[orderNum]],ТабЗаказы[#Data],MATCH(B$7,ТабЗаказы[#Headers],0),0),"")</f>
        <v>45546</v>
      </c>
      <c r="C862" t="str">
        <f>MONTH(ТабПозиции[[#This Row],[date]])&amp;"/"&amp;YEAR(ТабПозиции[[#This Row],[date]])</f>
        <v>9/2024</v>
      </c>
      <c r="D862" s="1" t="str">
        <f>IFERROR(VLOOKUP(ТабПозиции[[#This Row],[orderNum]],ТабЗаказы[#Data],MATCH(D$7,ТабЗаказы[#Headers],0),0),"")</f>
        <v/>
      </c>
      <c r="E862" s="1" t="str">
        <f>IFERROR(VLOOKUP(ТабПозиции[[#This Row],[orderNum]],ТабЗаказы[#Data],MATCH(E$7,ТабЗаказы[#Headers],0),0),"")</f>
        <v/>
      </c>
      <c r="F862" s="16" t="s">
        <v>1338</v>
      </c>
      <c r="G862" s="40" t="s">
        <v>545</v>
      </c>
      <c r="I862" s="18">
        <v>45551</v>
      </c>
      <c r="J862" s="10">
        <v>1</v>
      </c>
      <c r="K862" s="10">
        <v>2223</v>
      </c>
      <c r="L862">
        <v>2223</v>
      </c>
      <c r="M862" s="10">
        <v>2340</v>
      </c>
      <c r="N862">
        <f t="shared" si="15"/>
        <v>2340</v>
      </c>
      <c r="O862" s="10">
        <f>ТабПозиции[[#This Row],[orderSumm]]*0.05</f>
        <v>117</v>
      </c>
      <c r="P8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Row],[orderNum]],ТабПозиции[orderSumm])&gt;1500),ABS(N862*VLOOKUP(ТабПозиции[[#This Row],[orderNum]],ТабЗаказы[#Data],MATCH("Percent",ТабЗаказы[#Headers],0),0))/100,200/COUNTIF(ТабПозиции[orderNum],ТабПозиции[[#This Row],[orderNum]])),0),"")</f>
        <v>351</v>
      </c>
      <c r="Q862">
        <f>IF(OR(ТабПозиции[[#This Row],[item]]="По штрихкоду",ТабПозиции[[#This Row],[item]]="Посылка"),ТабПозиции[[#This Row],[deliverySumm]]+ТабПозиции[[#This Row],[deliveryPost]],SUM(N862:P862))</f>
        <v>2808</v>
      </c>
      <c r="R862" s="41">
        <v>2808</v>
      </c>
      <c r="S862" s="46">
        <f>ТабПозиции[[#This Row],[totalSumm]]-ТабПозиции[[#This Row],[payment]]</f>
        <v>0</v>
      </c>
      <c r="T862" s="18" t="s">
        <v>970</v>
      </c>
      <c r="U862" s="40" t="s">
        <v>545</v>
      </c>
      <c r="V862" s="40" t="s">
        <v>545</v>
      </c>
      <c r="W862" s="40" t="s">
        <v>545</v>
      </c>
      <c r="X862" s="3"/>
      <c r="Y862"/>
    </row>
    <row r="863" spans="1:25" hidden="1" x14ac:dyDescent="0.25">
      <c r="A863" s="10">
        <v>245</v>
      </c>
      <c r="B863" s="1">
        <f>IFERROR(VLOOKUP(ТабПозиции[[#This Row],[orderNum]],ТабЗаказы[#Data],MATCH(B$7,ТабЗаказы[#Headers],0),0),"")</f>
        <v>45546</v>
      </c>
      <c r="C863" t="str">
        <f>MONTH(ТабПозиции[[#This Row],[date]])&amp;"/"&amp;YEAR(ТабПозиции[[#This Row],[date]])</f>
        <v>9/2024</v>
      </c>
      <c r="D863" s="1" t="str">
        <f>IFERROR(VLOOKUP(ТабПозиции[[#This Row],[orderNum]],ТабЗаказы[#Data],MATCH(D$7,ТабЗаказы[#Headers],0),0),"")</f>
        <v/>
      </c>
      <c r="E863" s="1" t="str">
        <f>IFERROR(VLOOKUP(ТабПозиции[[#This Row],[orderNum]],ТабЗаказы[#Data],MATCH(E$7,ТабЗаказы[#Headers],0),0),"")</f>
        <v/>
      </c>
      <c r="F863" s="16" t="s">
        <v>1339</v>
      </c>
      <c r="G863" s="40" t="s">
        <v>545</v>
      </c>
      <c r="I863" s="18">
        <v>45548</v>
      </c>
      <c r="J863" s="10">
        <v>1</v>
      </c>
      <c r="K863" s="10">
        <v>3973</v>
      </c>
      <c r="L863">
        <v>3973</v>
      </c>
      <c r="M863" s="10">
        <v>4183</v>
      </c>
      <c r="N863">
        <f t="shared" si="15"/>
        <v>4183</v>
      </c>
      <c r="O863" s="37">
        <f>ТабПозиции[[#This Row],[orderSumm]]*0.05</f>
        <v>209.15</v>
      </c>
      <c r="P8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Row],[orderNum]],ТабПозиции[orderSumm])&gt;1500),ABS(N863*VLOOKUP(ТабПозиции[[#This Row],[orderNum]],ТабЗаказы[#Data],MATCH("Percent",ТабЗаказы[#Headers],0),0))/100,200/COUNTIF(ТабПозиции[orderNum],ТабПозиции[[#This Row],[orderNum]])),0),"")</f>
        <v>627</v>
      </c>
      <c r="Q863" s="9">
        <f>IF(OR(ТабПозиции[[#This Row],[item]]="По штрихкоду",ТабПозиции[[#This Row],[item]]="Посылка"),ТабПозиции[[#This Row],[deliverySumm]]+ТабПозиции[[#This Row],[deliveryPost]],SUM(N863:P863))</f>
        <v>5019.1499999999996</v>
      </c>
      <c r="R863" s="41">
        <v>5019.1499999999996</v>
      </c>
      <c r="S863" s="46">
        <f>ТабПозиции[[#This Row],[totalSumm]]-ТабПозиции[[#This Row],[payment]]</f>
        <v>0</v>
      </c>
      <c r="T863" s="18" t="s">
        <v>970</v>
      </c>
      <c r="U863" s="40" t="s">
        <v>545</v>
      </c>
      <c r="V863" s="40" t="s">
        <v>545</v>
      </c>
      <c r="W863" s="40" t="s">
        <v>545</v>
      </c>
      <c r="X863" s="3"/>
      <c r="Y863"/>
    </row>
    <row r="864" spans="1:25" hidden="1" x14ac:dyDescent="0.25">
      <c r="A864" s="10">
        <v>234</v>
      </c>
      <c r="B864" s="1">
        <f>IFERROR(VLOOKUP(ТабПозиции[[#This Row],[orderNum]],ТабЗаказы[#Data],MATCH(B$7,ТабЗаказы[#Headers],0),0),"")</f>
        <v>45538</v>
      </c>
      <c r="C864" t="str">
        <f>MONTH(ТабПозиции[[#This Row],[date]])&amp;"/"&amp;YEAR(ТабПозиции[[#This Row],[date]])</f>
        <v>9/2024</v>
      </c>
      <c r="D864" s="1" t="str">
        <f>IFERROR(VLOOKUP(ТабПозиции[[#This Row],[orderNum]],ТабЗаказы[#Data],MATCH(D$7,ТабЗаказы[#Headers],0),0),"")</f>
        <v/>
      </c>
      <c r="E864" s="1" t="str">
        <f>IFERROR(VLOOKUP(ТабПозиции[[#This Row],[orderNum]],ТабЗаказы[#Data],MATCH(E$7,ТабЗаказы[#Headers],0),0),"")</f>
        <v/>
      </c>
      <c r="F864" s="10" t="s">
        <v>820</v>
      </c>
      <c r="G864" s="40" t="s">
        <v>545</v>
      </c>
      <c r="H864" s="27" t="s">
        <v>1340</v>
      </c>
      <c r="I864" s="18">
        <v>45552</v>
      </c>
      <c r="J864" s="10">
        <v>1</v>
      </c>
      <c r="K864" s="10">
        <v>6500</v>
      </c>
      <c r="L864">
        <v>6500</v>
      </c>
      <c r="M864" s="10">
        <v>6500</v>
      </c>
      <c r="N864">
        <f t="shared" si="15"/>
        <v>6500</v>
      </c>
      <c r="P8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Row],[orderNum]],ТабПозиции[orderSumm])&gt;1500),ABS(N864*VLOOKUP(ТабПозиции[[#This Row],[orderNum]],ТабЗаказы[#Data],MATCH("Percent",ТабЗаказы[#Headers],0),0))/100,200/COUNTIF(ТабПозиции[orderNum],ТабПозиции[[#This Row],[orderNum]])),0),"")</f>
        <v>650</v>
      </c>
      <c r="Q864">
        <f>IF(OR(ТабПозиции[[#This Row],[item]]="По штрихкоду",ТабПозиции[[#This Row],[item]]="Посылка"),ТабПозиции[[#This Row],[deliverySumm]]+ТабПозиции[[#This Row],[deliveryPost]],SUM(N864:P864))</f>
        <v>650</v>
      </c>
      <c r="R864" s="41">
        <v>650</v>
      </c>
      <c r="S864" s="46">
        <f>ТабПозиции[[#This Row],[totalSumm]]-ТабПозиции[[#This Row],[payment]]</f>
        <v>0</v>
      </c>
      <c r="T864" s="18" t="s">
        <v>1021</v>
      </c>
      <c r="U864" s="40" t="s">
        <v>545</v>
      </c>
      <c r="V864" s="40" t="s">
        <v>545</v>
      </c>
      <c r="W864" s="40" t="s">
        <v>545</v>
      </c>
      <c r="X864" s="3"/>
      <c r="Y864"/>
    </row>
    <row r="865" spans="1:25" hidden="1" x14ac:dyDescent="0.25">
      <c r="A865" s="10">
        <v>234</v>
      </c>
      <c r="B865" s="1">
        <f>IFERROR(VLOOKUP(ТабПозиции[[#This Row],[orderNum]],ТабЗаказы[#Data],MATCH(B$7,ТабЗаказы[#Headers],0),0),"")</f>
        <v>45538</v>
      </c>
      <c r="C865" t="str">
        <f>MONTH(ТабПозиции[[#This Row],[date]])&amp;"/"&amp;YEAR(ТабПозиции[[#This Row],[date]])</f>
        <v>9/2024</v>
      </c>
      <c r="D865" s="1" t="str">
        <f>IFERROR(VLOOKUP(ТабПозиции[[#This Row],[orderNum]],ТабЗаказы[#Data],MATCH(D$7,ТабЗаказы[#Headers],0),0),"")</f>
        <v/>
      </c>
      <c r="E865" s="1" t="str">
        <f>IFERROR(VLOOKUP(ТабПозиции[[#This Row],[orderNum]],ТабЗаказы[#Data],MATCH(E$7,ТабЗаказы[#Headers],0),0),"")</f>
        <v/>
      </c>
      <c r="F865" s="10" t="s">
        <v>820</v>
      </c>
      <c r="G865" s="40" t="s">
        <v>545</v>
      </c>
      <c r="H865" s="27" t="s">
        <v>1341</v>
      </c>
      <c r="I865" s="18">
        <v>45551</v>
      </c>
      <c r="J865" s="10">
        <v>1</v>
      </c>
      <c r="K865" s="10">
        <v>3000</v>
      </c>
      <c r="L865">
        <v>3000</v>
      </c>
      <c r="M865" s="10">
        <v>3000</v>
      </c>
      <c r="N865">
        <f t="shared" si="15"/>
        <v>3000</v>
      </c>
      <c r="P8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Row],[orderNum]],ТабПозиции[orderSumm])&gt;1500),ABS(N865*VLOOKUP(ТабПозиции[[#This Row],[orderNum]],ТабЗаказы[#Data],MATCH("Percent",ТабЗаказы[#Headers],0),0))/100,200/COUNTIF(ТабПозиции[orderNum],ТабПозиции[[#This Row],[orderNum]])),0),"")</f>
        <v>300</v>
      </c>
      <c r="Q865">
        <f>IF(OR(ТабПозиции[[#This Row],[item]]="По штрихкоду",ТабПозиции[[#This Row],[item]]="Посылка"),ТабПозиции[[#This Row],[deliverySumm]]+ТабПозиции[[#This Row],[deliveryPost]],SUM(N865:P865))</f>
        <v>300</v>
      </c>
      <c r="R865" s="41">
        <v>300</v>
      </c>
      <c r="S865" s="46">
        <f>ТабПозиции[[#This Row],[totalSumm]]-ТабПозиции[[#This Row],[payment]]</f>
        <v>0</v>
      </c>
      <c r="T865" s="18" t="s">
        <v>1021</v>
      </c>
      <c r="U865" s="40" t="s">
        <v>545</v>
      </c>
      <c r="V865" s="40" t="s">
        <v>545</v>
      </c>
      <c r="W865" s="40" t="s">
        <v>545</v>
      </c>
      <c r="X865" s="3"/>
      <c r="Y865"/>
    </row>
    <row r="866" spans="1:25" hidden="1" x14ac:dyDescent="0.25">
      <c r="A866" s="10">
        <v>234</v>
      </c>
      <c r="B866" s="1">
        <f>IFERROR(VLOOKUP(ТабПозиции[[#This Row],[orderNum]],ТабЗаказы[#Data],MATCH(B$7,ТабЗаказы[#Headers],0),0),"")</f>
        <v>45538</v>
      </c>
      <c r="C866" t="str">
        <f>MONTH(ТабПозиции[[#This Row],[date]])&amp;"/"&amp;YEAR(ТабПозиции[[#This Row],[date]])</f>
        <v>9/2024</v>
      </c>
      <c r="D866" s="1" t="str">
        <f>IFERROR(VLOOKUP(ТабПозиции[[#This Row],[orderNum]],ТабЗаказы[#Data],MATCH(D$7,ТабЗаказы[#Headers],0),0),"")</f>
        <v/>
      </c>
      <c r="E866" s="1" t="str">
        <f>IFERROR(VLOOKUP(ТабПозиции[[#This Row],[orderNum]],ТабЗаказы[#Data],MATCH(E$7,ТабЗаказы[#Headers],0),0),"")</f>
        <v/>
      </c>
      <c r="F866" s="10" t="s">
        <v>820</v>
      </c>
      <c r="G866" s="40" t="s">
        <v>545</v>
      </c>
      <c r="H866" s="27" t="s">
        <v>1342</v>
      </c>
      <c r="I866" s="18">
        <v>45553</v>
      </c>
      <c r="J866" s="10">
        <v>1</v>
      </c>
      <c r="K866" s="10">
        <v>2400</v>
      </c>
      <c r="L866">
        <v>2400</v>
      </c>
      <c r="M866" s="10">
        <v>2400</v>
      </c>
      <c r="N866">
        <f t="shared" si="15"/>
        <v>2400</v>
      </c>
      <c r="P8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Row],[orderNum]],ТабПозиции[orderSumm])&gt;1500),ABS(N866*VLOOKUP(ТабПозиции[[#This Row],[orderNum]],ТабЗаказы[#Data],MATCH("Percent",ТабЗаказы[#Headers],0),0))/100,200/COUNTIF(ТабПозиции[orderNum],ТабПозиции[[#This Row],[orderNum]])),0),"")</f>
        <v>240</v>
      </c>
      <c r="Q866">
        <f>IF(OR(ТабПозиции[[#This Row],[item]]="По штрихкоду",ТабПозиции[[#This Row],[item]]="Посылка"),ТабПозиции[[#This Row],[deliverySumm]]+ТабПозиции[[#This Row],[deliveryPost]],SUM(N866:P866))</f>
        <v>240</v>
      </c>
      <c r="R866" s="41">
        <v>240</v>
      </c>
      <c r="S866" s="46">
        <f>ТабПозиции[[#This Row],[totalSumm]]-ТабПозиции[[#This Row],[payment]]</f>
        <v>0</v>
      </c>
      <c r="T866" s="18" t="s">
        <v>1021</v>
      </c>
      <c r="U866" s="40" t="s">
        <v>545</v>
      </c>
      <c r="V866" s="40" t="s">
        <v>545</v>
      </c>
      <c r="W866" s="40" t="s">
        <v>545</v>
      </c>
      <c r="X866" s="3"/>
      <c r="Y866"/>
    </row>
    <row r="867" spans="1:25" hidden="1" x14ac:dyDescent="0.25">
      <c r="A867" s="10">
        <v>234</v>
      </c>
      <c r="B867" s="1">
        <f>IFERROR(VLOOKUP(ТабПозиции[[#This Row],[orderNum]],ТабЗаказы[#Data],MATCH(B$7,ТабЗаказы[#Headers],0),0),"")</f>
        <v>45538</v>
      </c>
      <c r="C867" t="str">
        <f>MONTH(ТабПозиции[[#This Row],[date]])&amp;"/"&amp;YEAR(ТабПозиции[[#This Row],[date]])</f>
        <v>9/2024</v>
      </c>
      <c r="D867" s="1" t="str">
        <f>IFERROR(VLOOKUP(ТабПозиции[[#This Row],[orderNum]],ТабЗаказы[#Data],MATCH(D$7,ТабЗаказы[#Headers],0),0),"")</f>
        <v/>
      </c>
      <c r="E867" s="1" t="str">
        <f>IFERROR(VLOOKUP(ТабПозиции[[#This Row],[orderNum]],ТабЗаказы[#Data],MATCH(E$7,ТабЗаказы[#Headers],0),0),"")</f>
        <v/>
      </c>
      <c r="F867" s="10" t="s">
        <v>820</v>
      </c>
      <c r="G867" s="40" t="s">
        <v>545</v>
      </c>
      <c r="H867" s="27" t="s">
        <v>1343</v>
      </c>
      <c r="I867" s="18">
        <v>45550</v>
      </c>
      <c r="J867" s="10">
        <v>1</v>
      </c>
      <c r="K867" s="10">
        <v>1250</v>
      </c>
      <c r="L867">
        <v>1250</v>
      </c>
      <c r="M867" s="10">
        <v>1250</v>
      </c>
      <c r="N867">
        <f t="shared" si="15"/>
        <v>1250</v>
      </c>
      <c r="O867" s="10">
        <v>445</v>
      </c>
      <c r="P8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Row],[orderNum]],ТабПозиции[orderSumm])&gt;1500),ABS(N867*VLOOKUP(ТабПозиции[[#This Row],[orderNum]],ТабЗаказы[#Data],MATCH("Percent",ТабЗаказы[#Headers],0),0))/100,200/COUNTIF(ТабПозиции[orderNum],ТабПозиции[[#This Row],[orderNum]])),0),"")</f>
        <v>125</v>
      </c>
      <c r="Q867">
        <f>IF(OR(ТабПозиции[[#This Row],[item]]="По штрихкоду",ТабПозиции[[#This Row],[item]]="Посылка"),ТабПозиции[[#This Row],[deliverySumm]]+ТабПозиции[[#This Row],[deliveryPost]],SUM(N867:P867))</f>
        <v>570</v>
      </c>
      <c r="R867" s="41">
        <v>570</v>
      </c>
      <c r="S867" s="46">
        <f>ТабПозиции[[#This Row],[totalSumm]]-ТабПозиции[[#This Row],[payment]]</f>
        <v>0</v>
      </c>
      <c r="T867" s="18" t="s">
        <v>1021</v>
      </c>
      <c r="U867" s="40" t="s">
        <v>545</v>
      </c>
      <c r="V867" s="40" t="s">
        <v>545</v>
      </c>
      <c r="W867" s="40" t="s">
        <v>545</v>
      </c>
      <c r="X867" s="3"/>
      <c r="Y867"/>
    </row>
    <row r="868" spans="1:25" hidden="1" x14ac:dyDescent="0.25">
      <c r="A868" s="10">
        <v>234</v>
      </c>
      <c r="B868" s="1">
        <f>IFERROR(VLOOKUP(ТабПозиции[[#This Row],[orderNum]],ТабЗаказы[#Data],MATCH(B$7,ТабЗаказы[#Headers],0),0),"")</f>
        <v>45538</v>
      </c>
      <c r="C868" t="str">
        <f>MONTH(ТабПозиции[[#This Row],[date]])&amp;"/"&amp;YEAR(ТабПозиции[[#This Row],[date]])</f>
        <v>9/2024</v>
      </c>
      <c r="D868" s="1" t="str">
        <f>IFERROR(VLOOKUP(ТабПозиции[[#This Row],[orderNum]],ТабЗаказы[#Data],MATCH(D$7,ТабЗаказы[#Headers],0),0),"")</f>
        <v/>
      </c>
      <c r="E868" s="1" t="str">
        <f>IFERROR(VLOOKUP(ТабПозиции[[#This Row],[orderNum]],ТабЗаказы[#Data],MATCH(E$7,ТабЗаказы[#Headers],0),0),"")</f>
        <v/>
      </c>
      <c r="F868" s="10" t="s">
        <v>820</v>
      </c>
      <c r="G868" s="40" t="s">
        <v>545</v>
      </c>
      <c r="H868" s="27" t="s">
        <v>1344</v>
      </c>
      <c r="I868" s="18">
        <v>45551</v>
      </c>
      <c r="J868" s="10">
        <v>1</v>
      </c>
      <c r="K868" s="10">
        <v>3200</v>
      </c>
      <c r="L868">
        <v>3200</v>
      </c>
      <c r="M868" s="10">
        <v>3200</v>
      </c>
      <c r="N868">
        <f t="shared" si="15"/>
        <v>3200</v>
      </c>
      <c r="P8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Row],[orderNum]],ТабПозиции[orderSumm])&gt;1500),ABS(N868*VLOOKUP(ТабПозиции[[#This Row],[orderNum]],ТабЗаказы[#Data],MATCH("Percent",ТабЗаказы[#Headers],0),0))/100,200/COUNTIF(ТабПозиции[orderNum],ТабПозиции[[#This Row],[orderNum]])),0),"")</f>
        <v>320</v>
      </c>
      <c r="Q868">
        <f>IF(OR(ТабПозиции[[#This Row],[item]]="По штрихкоду",ТабПозиции[[#This Row],[item]]="Посылка"),ТабПозиции[[#This Row],[deliverySumm]]+ТабПозиции[[#This Row],[deliveryPost]],SUM(N868:P868))</f>
        <v>320</v>
      </c>
      <c r="R868" s="41">
        <v>320</v>
      </c>
      <c r="S868" s="46">
        <f>ТабПозиции[[#This Row],[totalSumm]]-ТабПозиции[[#This Row],[payment]]</f>
        <v>0</v>
      </c>
      <c r="T868" s="18" t="s">
        <v>1021</v>
      </c>
      <c r="U868" s="40" t="s">
        <v>545</v>
      </c>
      <c r="V868" s="40" t="s">
        <v>545</v>
      </c>
      <c r="W868" s="40" t="s">
        <v>545</v>
      </c>
      <c r="X868" s="3"/>
      <c r="Y868"/>
    </row>
    <row r="869" spans="1:25" hidden="1" x14ac:dyDescent="0.25">
      <c r="A869" s="10">
        <v>234</v>
      </c>
      <c r="B869" s="1">
        <f>IFERROR(VLOOKUP(ТабПозиции[[#This Row],[orderNum]],ТабЗаказы[#Data],MATCH(B$7,ТабЗаказы[#Headers],0),0),"")</f>
        <v>45538</v>
      </c>
      <c r="C869" t="str">
        <f>MONTH(ТабПозиции[[#This Row],[date]])&amp;"/"&amp;YEAR(ТабПозиции[[#This Row],[date]])</f>
        <v>9/2024</v>
      </c>
      <c r="D869" s="1" t="str">
        <f>IFERROR(VLOOKUP(ТабПозиции[[#This Row],[orderNum]],ТабЗаказы[#Data],MATCH(D$7,ТабЗаказы[#Headers],0),0),"")</f>
        <v/>
      </c>
      <c r="E869" s="1" t="str">
        <f>IFERROR(VLOOKUP(ТабПозиции[[#This Row],[orderNum]],ТабЗаказы[#Data],MATCH(E$7,ТабЗаказы[#Headers],0),0),"")</f>
        <v/>
      </c>
      <c r="F869" s="10" t="s">
        <v>820</v>
      </c>
      <c r="G869" s="40" t="s">
        <v>545</v>
      </c>
      <c r="H869" s="28" t="s">
        <v>1345</v>
      </c>
      <c r="I869" s="18">
        <v>45550</v>
      </c>
      <c r="J869" s="10">
        <v>1</v>
      </c>
      <c r="K869" s="10">
        <v>3850</v>
      </c>
      <c r="L869">
        <v>3850</v>
      </c>
      <c r="M869" s="10">
        <v>3850</v>
      </c>
      <c r="N869">
        <f t="shared" si="15"/>
        <v>3850</v>
      </c>
      <c r="P8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Row],[orderNum]],ТабПозиции[orderSumm])&gt;1500),ABS(N869*VLOOKUP(ТабПозиции[[#This Row],[orderNum]],ТабЗаказы[#Data],MATCH("Percent",ТабЗаказы[#Headers],0),0))/100,200/COUNTIF(ТабПозиции[orderNum],ТабПозиции[[#This Row],[orderNum]])),0),"")</f>
        <v>385</v>
      </c>
      <c r="Q869">
        <f>IF(OR(ТабПозиции[[#This Row],[item]]="По штрихкоду",ТабПозиции[[#This Row],[item]]="Посылка"),ТабПозиции[[#This Row],[deliverySumm]]+ТабПозиции[[#This Row],[deliveryPost]],SUM(N869:P869))</f>
        <v>385</v>
      </c>
      <c r="R869" s="41">
        <v>385</v>
      </c>
      <c r="S869" s="46">
        <f>ТабПозиции[[#This Row],[totalSumm]]-ТабПозиции[[#This Row],[payment]]</f>
        <v>0</v>
      </c>
      <c r="T869" s="18" t="s">
        <v>1016</v>
      </c>
      <c r="U869" s="40" t="s">
        <v>545</v>
      </c>
      <c r="V869" s="40" t="s">
        <v>545</v>
      </c>
      <c r="W869" s="40" t="s">
        <v>545</v>
      </c>
      <c r="X869" s="3"/>
      <c r="Y869"/>
    </row>
    <row r="870" spans="1:25" hidden="1" x14ac:dyDescent="0.25">
      <c r="A870" s="10">
        <v>247</v>
      </c>
      <c r="B870" s="1">
        <f>IFERROR(VLOOKUP(ТабПозиции[[#This Row],[orderNum]],ТабЗаказы[#Data],MATCH(B$7,ТабЗаказы[#Headers],0),0),"")</f>
        <v>45546</v>
      </c>
      <c r="C870" t="str">
        <f>MONTH(ТабПозиции[[#This Row],[date]])&amp;"/"&amp;YEAR(ТабПозиции[[#This Row],[date]])</f>
        <v>9/2024</v>
      </c>
      <c r="D870" s="1" t="str">
        <f>IFERROR(VLOOKUP(ТабПозиции[[#This Row],[orderNum]],ТабЗаказы[#Data],MATCH(D$7,ТабЗаказы[#Headers],0),0),"")</f>
        <v/>
      </c>
      <c r="E870" s="1" t="str">
        <f>IFERROR(VLOOKUP(ТабПозиции[[#This Row],[orderNum]],ТабЗаказы[#Data],MATCH(E$7,ТабЗаказы[#Headers],0),0),"")</f>
        <v/>
      </c>
      <c r="F870" s="16" t="s">
        <v>1348</v>
      </c>
      <c r="G870" s="40" t="s">
        <v>545</v>
      </c>
      <c r="I870" s="18">
        <v>45549</v>
      </c>
      <c r="J870" s="10">
        <v>1</v>
      </c>
      <c r="K870" s="10">
        <v>726</v>
      </c>
      <c r="L870">
        <v>726</v>
      </c>
      <c r="M870" s="10">
        <v>757</v>
      </c>
      <c r="N870">
        <f t="shared" si="15"/>
        <v>757</v>
      </c>
      <c r="P8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Row],[orderNum]],ТабПозиции[orderSumm])&gt;1500),ABS(N870*VLOOKUP(ТабПозиции[[#This Row],[orderNum]],ТабЗаказы[#Data],MATCH("Percent",ТабЗаказы[#Headers],0),0))/100,200/COUNTIF(ТабПозиции[orderNum],ТабПозиции[[#This Row],[orderNum]])),0),"")</f>
        <v>114</v>
      </c>
      <c r="Q870">
        <v>871</v>
      </c>
      <c r="R870" s="41">
        <v>871</v>
      </c>
      <c r="S870" s="46">
        <f>ТабПозиции[[#This Row],[totalSumm]]-ТабПозиции[[#This Row],[payment]]</f>
        <v>0</v>
      </c>
      <c r="T870" s="18" t="s">
        <v>1005</v>
      </c>
      <c r="U870" s="40" t="s">
        <v>545</v>
      </c>
      <c r="V870" s="40" t="s">
        <v>545</v>
      </c>
      <c r="W870" s="40" t="s">
        <v>545</v>
      </c>
      <c r="X870" s="3"/>
      <c r="Y870"/>
    </row>
    <row r="871" spans="1:25" hidden="1" x14ac:dyDescent="0.25">
      <c r="A871" s="10">
        <v>247</v>
      </c>
      <c r="B871" s="1">
        <f>IFERROR(VLOOKUP(ТабПозиции[[#This Row],[orderNum]],ТабЗаказы[#Data],MATCH(B$7,ТабЗаказы[#Headers],0),0),"")</f>
        <v>45546</v>
      </c>
      <c r="C871" t="str">
        <f>MONTH(ТабПозиции[[#This Row],[date]])&amp;"/"&amp;YEAR(ТабПозиции[[#This Row],[date]])</f>
        <v>9/2024</v>
      </c>
      <c r="D871" s="1" t="str">
        <f>IFERROR(VLOOKUP(ТабПозиции[[#This Row],[orderNum]],ТабЗаказы[#Data],MATCH(D$7,ТабЗаказы[#Headers],0),0),"")</f>
        <v/>
      </c>
      <c r="E871" s="1" t="str">
        <f>IFERROR(VLOOKUP(ТабПозиции[[#This Row],[orderNum]],ТабЗаказы[#Data],MATCH(E$7,ТабЗаказы[#Headers],0),0),"")</f>
        <v/>
      </c>
      <c r="F871" s="16" t="s">
        <v>1349</v>
      </c>
      <c r="G871" s="40" t="s">
        <v>545</v>
      </c>
      <c r="I871" s="18">
        <v>45548</v>
      </c>
      <c r="J871" s="10">
        <v>1</v>
      </c>
      <c r="K871" s="10">
        <v>1049</v>
      </c>
      <c r="L871">
        <v>1049</v>
      </c>
      <c r="M871" s="10">
        <v>1105</v>
      </c>
      <c r="N871">
        <f t="shared" si="15"/>
        <v>1105</v>
      </c>
      <c r="P8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Row],[orderNum]],ТабПозиции[orderSumm])&gt;1500),ABS(N871*VLOOKUP(ТабПозиции[[#This Row],[orderNum]],ТабЗаказы[#Data],MATCH("Percent",ТабЗаказы[#Headers],0),0))/100,200/COUNTIF(ТабПозиции[orderNum],ТабПозиции[[#This Row],[orderNum]])),0),"")</f>
        <v>166</v>
      </c>
      <c r="Q871">
        <f>IF(OR(ТабПозиции[[#This Row],[item]]="По штрихкоду",ТабПозиции[[#This Row],[item]]="Посылка"),ТабПозиции[[#This Row],[deliverySumm]]+ТабПозиции[[#This Row],[deliveryPost]],SUM(N871:P871))</f>
        <v>1271</v>
      </c>
      <c r="R871" s="41">
        <v>1271</v>
      </c>
      <c r="S871" s="46">
        <f>ТабПозиции[[#This Row],[totalSumm]]-ТабПозиции[[#This Row],[payment]]</f>
        <v>0</v>
      </c>
      <c r="T871" s="18" t="s">
        <v>970</v>
      </c>
      <c r="U871" s="40" t="s">
        <v>545</v>
      </c>
      <c r="V871" s="40" t="s">
        <v>545</v>
      </c>
      <c r="W871" s="40" t="s">
        <v>545</v>
      </c>
      <c r="X871" s="3"/>
      <c r="Y871"/>
    </row>
    <row r="872" spans="1:25" hidden="1" x14ac:dyDescent="0.25">
      <c r="A872" s="10">
        <v>247</v>
      </c>
      <c r="B872" s="1">
        <f>IFERROR(VLOOKUP(ТабПозиции[[#This Row],[orderNum]],ТабЗаказы[#Data],MATCH(B$7,ТабЗаказы[#Headers],0),0),"")</f>
        <v>45546</v>
      </c>
      <c r="C872" t="str">
        <f>MONTH(ТабПозиции[[#This Row],[date]])&amp;"/"&amp;YEAR(ТабПозиции[[#This Row],[date]])</f>
        <v>9/2024</v>
      </c>
      <c r="D872" s="1" t="str">
        <f>IFERROR(VLOOKUP(ТабПозиции[[#This Row],[orderNum]],ТабЗаказы[#Data],MATCH(D$7,ТабЗаказы[#Headers],0),0),"")</f>
        <v/>
      </c>
      <c r="E872" s="1" t="str">
        <f>IFERROR(VLOOKUP(ТабПозиции[[#This Row],[orderNum]],ТабЗаказы[#Data],MATCH(E$7,ТабЗаказы[#Headers],0),0),"")</f>
        <v/>
      </c>
      <c r="F872" s="16" t="s">
        <v>1350</v>
      </c>
      <c r="G872" s="40" t="s">
        <v>545</v>
      </c>
      <c r="I872" s="18">
        <v>45563</v>
      </c>
      <c r="J872" s="10">
        <v>0</v>
      </c>
      <c r="K872" s="10">
        <v>1171</v>
      </c>
      <c r="L872">
        <v>0</v>
      </c>
      <c r="M872" s="10">
        <v>1250</v>
      </c>
      <c r="N872">
        <f t="shared" si="15"/>
        <v>0</v>
      </c>
      <c r="P8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Row],[orderNum]],ТабПозиции[orderSumm])&gt;1500),ABS(N872*VLOOKUP(ТабПозиции[[#This Row],[orderNum]],ТабЗаказы[#Data],MATCH("Percent",ТабЗаказы[#Headers],0),0))/100,200/COUNTIF(ТабПозиции[orderNum],ТабПозиции[[#This Row],[orderNum]])),0),"")</f>
        <v>0</v>
      </c>
      <c r="Q872">
        <f>IF(OR(ТабПозиции[[#This Row],[item]]="По штрихкоду",ТабПозиции[[#This Row],[item]]="Посылка"),ТабПозиции[[#This Row],[deliverySumm]]+ТабПозиции[[#This Row],[deliveryPost]],SUM(N872:P872))</f>
        <v>0</v>
      </c>
      <c r="S872" s="46">
        <f>ТабПозиции[[#This Row],[totalSumm]]-ТабПозиции[[#This Row],[payment]]</f>
        <v>0</v>
      </c>
      <c r="T872" s="18" t="s">
        <v>960</v>
      </c>
      <c r="U872" s="40" t="s">
        <v>545</v>
      </c>
      <c r="V872" s="40" t="s">
        <v>545</v>
      </c>
      <c r="W872" s="40" t="s">
        <v>545</v>
      </c>
      <c r="X872" s="3"/>
      <c r="Y872"/>
    </row>
    <row r="873" spans="1:25" hidden="1" x14ac:dyDescent="0.25">
      <c r="A873" s="10">
        <v>248</v>
      </c>
      <c r="B873" s="1">
        <f>IFERROR(VLOOKUP(ТабПозиции[[#This Row],[orderNum]],ТабЗаказы[#Data],MATCH(B$7,ТабЗаказы[#Headers],0),0),"")</f>
        <v>45548</v>
      </c>
      <c r="C873" t="str">
        <f>MONTH(ТабПозиции[[#This Row],[date]])&amp;"/"&amp;YEAR(ТабПозиции[[#This Row],[date]])</f>
        <v>9/2024</v>
      </c>
      <c r="D873" s="1" t="str">
        <f>IFERROR(VLOOKUP(ТабПозиции[[#This Row],[orderNum]],ТабЗаказы[#Data],MATCH(D$7,ТабЗаказы[#Headers],0),0),"")</f>
        <v/>
      </c>
      <c r="E873" s="1" t="str">
        <f>IFERROR(VLOOKUP(ТабПозиции[[#This Row],[orderNum]],ТабЗаказы[#Data],MATCH(E$7,ТабЗаказы[#Headers],0),0),"")</f>
        <v/>
      </c>
      <c r="F873" s="10" t="s">
        <v>32</v>
      </c>
      <c r="G873" s="40" t="s">
        <v>545</v>
      </c>
      <c r="I873" s="18">
        <v>45548</v>
      </c>
      <c r="J873" s="10">
        <v>1</v>
      </c>
      <c r="K873" s="10">
        <v>204</v>
      </c>
      <c r="L873">
        <v>204</v>
      </c>
      <c r="M873" s="10">
        <v>204</v>
      </c>
      <c r="N873">
        <f t="shared" si="15"/>
        <v>204</v>
      </c>
      <c r="P8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Row],[orderNum]],ТабПозиции[orderSumm])&gt;1500),ABS(N873*VLOOKUP(ТабПозиции[[#This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873">
        <f>IF(OR(ТабПозиции[[#This Row],[item]]="По штрихкоду",ТабПозиции[[#This Row],[item]]="Посылка"),ТабПозиции[[#This Row],[deliverySumm]]+ТабПозиции[[#This Row],[deliveryPost]],SUM(N873:P873))</f>
        <v>200</v>
      </c>
      <c r="R873" s="41">
        <v>200</v>
      </c>
      <c r="S873" s="46">
        <f>ТабПозиции[[#This Row],[totalSumm]]-ТабПозиции[[#This Row],[payment]]</f>
        <v>0</v>
      </c>
      <c r="T873" s="18" t="s">
        <v>960</v>
      </c>
      <c r="U873" s="40" t="s">
        <v>545</v>
      </c>
      <c r="V873" s="40" t="s">
        <v>545</v>
      </c>
      <c r="W873" s="40" t="s">
        <v>545</v>
      </c>
      <c r="X873" s="3"/>
      <c r="Y873"/>
    </row>
    <row r="874" spans="1:25" hidden="1" x14ac:dyDescent="0.25">
      <c r="A874" s="10">
        <v>249</v>
      </c>
      <c r="B874" s="1">
        <f>IFERROR(VLOOKUP(ТабПозиции[[#This Row],[orderNum]],ТабЗаказы[#Data],MATCH(B$7,ТабЗаказы[#Headers],0),0),"")</f>
        <v>45548</v>
      </c>
      <c r="C874" t="str">
        <f>MONTH(ТабПозиции[[#This Row],[date]])&amp;"/"&amp;YEAR(ТабПозиции[[#This Row],[date]])</f>
        <v>9/2024</v>
      </c>
      <c r="D874" s="1" t="str">
        <f>IFERROR(VLOOKUP(ТабПозиции[[#This Row],[orderNum]],ТабЗаказы[#Data],MATCH(D$7,ТабЗаказы[#Headers],0),0),"")</f>
        <v/>
      </c>
      <c r="E874" s="1" t="str">
        <f>IFERROR(VLOOKUP(ТабПозиции[[#This Row],[orderNum]],ТабЗаказы[#Data],MATCH(E$7,ТабЗаказы[#Headers],0),0),"")</f>
        <v/>
      </c>
      <c r="F874" s="10" t="s">
        <v>32</v>
      </c>
      <c r="G874" s="40" t="s">
        <v>545</v>
      </c>
      <c r="I874" s="18">
        <v>45548</v>
      </c>
      <c r="J874" s="10">
        <v>1</v>
      </c>
      <c r="K874" s="10">
        <v>17840</v>
      </c>
      <c r="L874">
        <v>17840</v>
      </c>
      <c r="M874" s="10">
        <v>17840</v>
      </c>
      <c r="N874">
        <f t="shared" si="15"/>
        <v>17840</v>
      </c>
      <c r="P8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Row],[orderNum]],ТабПозиции[orderSumm])&gt;1500),ABS(N874*VLOOKUP(ТабПозиции[[#This Row],[orderNum]],ТабЗаказы[#Data],MATCH("Percent",ТабЗаказы[#Headers],0),0))/100,200/COUNTIF(ТабПозиции[orderNum],ТабПозиции[[#This Row],[orderNum]])),0),"")</f>
        <v>1784</v>
      </c>
      <c r="Q874">
        <f>IF(OR(ТабПозиции[[#This Row],[item]]="По штрихкоду",ТабПозиции[[#This Row],[item]]="Посылка"),ТабПозиции[[#This Row],[deliverySumm]]+ТабПозиции[[#This Row],[deliveryPost]],SUM(N874:P874))</f>
        <v>1784</v>
      </c>
      <c r="R874" s="41">
        <v>1784</v>
      </c>
      <c r="S874" s="46">
        <f>ТабПозиции[[#This Row],[totalSumm]]-ТабПозиции[[#This Row],[payment]]</f>
        <v>0</v>
      </c>
      <c r="T874" s="18" t="s">
        <v>960</v>
      </c>
      <c r="U874" s="40" t="s">
        <v>545</v>
      </c>
      <c r="V874" s="40" t="s">
        <v>545</v>
      </c>
      <c r="W874" s="40" t="s">
        <v>545</v>
      </c>
      <c r="X874" s="3"/>
      <c r="Y874"/>
    </row>
    <row r="875" spans="1:25" hidden="1" x14ac:dyDescent="0.25">
      <c r="A875" s="10">
        <v>250</v>
      </c>
      <c r="B875" s="1">
        <f>IFERROR(VLOOKUP(ТабПозиции[[#This Row],[orderNum]],ТабЗаказы[#Data],MATCH(B$7,ТабЗаказы[#Headers],0),0),"")</f>
        <v>45548</v>
      </c>
      <c r="C875" t="str">
        <f>MONTH(ТабПозиции[[#This Row],[date]])&amp;"/"&amp;YEAR(ТабПозиции[[#This Row],[date]])</f>
        <v>9/2024</v>
      </c>
      <c r="D875" s="1" t="str">
        <f>IFERROR(VLOOKUP(ТабПозиции[[#This Row],[orderNum]],ТабЗаказы[#Data],MATCH(D$7,ТабЗаказы[#Headers],0),0),"")</f>
        <v/>
      </c>
      <c r="E875" s="1" t="str">
        <f>IFERROR(VLOOKUP(ТабПозиции[[#This Row],[orderNum]],ТабЗаказы[#Data],MATCH(E$7,ТабЗаказы[#Headers],0),0),"")</f>
        <v/>
      </c>
      <c r="F875" s="16" t="s">
        <v>1371</v>
      </c>
      <c r="G875" s="40" t="s">
        <v>545</v>
      </c>
      <c r="I875" s="18">
        <v>45550</v>
      </c>
      <c r="J875" s="10">
        <v>1</v>
      </c>
      <c r="K875" s="10">
        <v>433</v>
      </c>
      <c r="L875">
        <v>433</v>
      </c>
      <c r="M875" s="10">
        <v>456</v>
      </c>
      <c r="N875">
        <f t="shared" si="15"/>
        <v>456</v>
      </c>
      <c r="P8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Row],[orderNum]],ТабПозиции[orderSumm])&gt;1500),ABS(N875*VLOOKUP(ТабПозиции[[#This Row],[orderNum]],ТабЗаказы[#Data],MATCH("Percent",ТабЗаказы[#Headers],0),0))/100,200/COUNTIF(ТабПозиции[orderNum],ТабПозиции[[#This Row],[orderNum]])),0),"")</f>
        <v>68</v>
      </c>
      <c r="Q875">
        <f>IF(OR(ТабПозиции[[#This Row],[item]]="По штрихкоду",ТабПозиции[[#This Row],[item]]="Посылка"),ТабПозиции[[#This Row],[deliverySumm]]+ТабПозиции[[#This Row],[deliveryPost]],SUM(N875:P875))</f>
        <v>524</v>
      </c>
      <c r="R875" s="41">
        <v>524</v>
      </c>
      <c r="S875" s="46">
        <f>ТабПозиции[[#This Row],[totalSumm]]-ТабПозиции[[#This Row],[payment]]</f>
        <v>0</v>
      </c>
      <c r="T875" s="18" t="s">
        <v>970</v>
      </c>
      <c r="U875" s="40" t="s">
        <v>545</v>
      </c>
      <c r="V875" s="40" t="s">
        <v>545</v>
      </c>
      <c r="W875" s="40" t="s">
        <v>545</v>
      </c>
      <c r="X875" s="3"/>
      <c r="Y875"/>
    </row>
    <row r="876" spans="1:25" hidden="1" x14ac:dyDescent="0.25">
      <c r="A876" s="10">
        <v>250</v>
      </c>
      <c r="B876" s="1">
        <f>IFERROR(VLOOKUP(ТабПозиции[[#This Row],[orderNum]],ТабЗаказы[#Data],MATCH(B$7,ТабЗаказы[#Headers],0),0),"")</f>
        <v>45548</v>
      </c>
      <c r="C876" t="str">
        <f>MONTH(ТабПозиции[[#This Row],[date]])&amp;"/"&amp;YEAR(ТабПозиции[[#This Row],[date]])</f>
        <v>9/2024</v>
      </c>
      <c r="D876" s="1" t="str">
        <f>IFERROR(VLOOKUP(ТабПозиции[[#This Row],[orderNum]],ТабЗаказы[#Data],MATCH(D$7,ТабЗаказы[#Headers],0),0),"")</f>
        <v/>
      </c>
      <c r="E876" s="1" t="str">
        <f>IFERROR(VLOOKUP(ТабПозиции[[#This Row],[orderNum]],ТабЗаказы[#Data],MATCH(E$7,ТабЗаказы[#Headers],0),0),"")</f>
        <v/>
      </c>
      <c r="F876" s="16" t="s">
        <v>1372</v>
      </c>
      <c r="G876" s="40" t="s">
        <v>545</v>
      </c>
      <c r="I876" s="18">
        <v>45550</v>
      </c>
      <c r="J876" s="10">
        <v>1</v>
      </c>
      <c r="K876" s="10">
        <v>75</v>
      </c>
      <c r="L876">
        <v>75</v>
      </c>
      <c r="M876" s="10">
        <v>79</v>
      </c>
      <c r="N876">
        <f t="shared" si="15"/>
        <v>79</v>
      </c>
      <c r="P8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Row],[orderNum]],ТабПозиции[orderSumm])&gt;1500),ABS(N876*VLOOKUP(ТабПозиции[[#This Row],[orderNum]],ТабЗаказы[#Data],MATCH("Percent",ТабЗаказы[#Headers],0),0))/100,200/COUNTIF(ТабПозиции[orderNum],ТабПозиции[[#This Row],[orderNum]])),0),"")</f>
        <v>12</v>
      </c>
      <c r="Q876">
        <f>IF(OR(ТабПозиции[[#This Row],[item]]="По штрихкоду",ТабПозиции[[#This Row],[item]]="Посылка"),ТабПозиции[[#This Row],[deliverySumm]]+ТабПозиции[[#This Row],[deliveryPost]],SUM(N876:P876))</f>
        <v>91</v>
      </c>
      <c r="R876" s="41">
        <v>91</v>
      </c>
      <c r="S876" s="46">
        <f>ТабПозиции[[#This Row],[totalSumm]]-ТабПозиции[[#This Row],[payment]]</f>
        <v>0</v>
      </c>
      <c r="T876" s="18" t="s">
        <v>970</v>
      </c>
      <c r="U876" s="40" t="s">
        <v>545</v>
      </c>
      <c r="V876" s="40" t="s">
        <v>545</v>
      </c>
      <c r="W876" s="40" t="s">
        <v>545</v>
      </c>
      <c r="X876" s="3"/>
      <c r="Y876"/>
    </row>
    <row r="877" spans="1:25" hidden="1" x14ac:dyDescent="0.25">
      <c r="A877" s="10">
        <v>250</v>
      </c>
      <c r="B877" s="1">
        <f>IFERROR(VLOOKUP(ТабПозиции[[#This Row],[orderNum]],ТабЗаказы[#Data],MATCH(B$7,ТабЗаказы[#Headers],0),0),"")</f>
        <v>45548</v>
      </c>
      <c r="C877" t="str">
        <f>MONTH(ТабПозиции[[#This Row],[date]])&amp;"/"&amp;YEAR(ТабПозиции[[#This Row],[date]])</f>
        <v>9/2024</v>
      </c>
      <c r="D877" s="1" t="str">
        <f>IFERROR(VLOOKUP(ТабПозиции[[#This Row],[orderNum]],ТабЗаказы[#Data],MATCH(D$7,ТабЗаказы[#Headers],0),0),"")</f>
        <v/>
      </c>
      <c r="E877" s="1" t="str">
        <f>IFERROR(VLOOKUP(ТабПозиции[[#This Row],[orderNum]],ТабЗаказы[#Data],MATCH(E$7,ТабЗаказы[#Headers],0),0),"")</f>
        <v/>
      </c>
      <c r="F877" s="16" t="s">
        <v>1373</v>
      </c>
      <c r="G877" s="40" t="s">
        <v>545</v>
      </c>
      <c r="I877" s="18">
        <v>45550</v>
      </c>
      <c r="J877" s="10">
        <v>1</v>
      </c>
      <c r="K877" s="10">
        <v>880</v>
      </c>
      <c r="L877">
        <v>880</v>
      </c>
      <c r="M877" s="10">
        <v>927</v>
      </c>
      <c r="N877">
        <f t="shared" si="15"/>
        <v>927</v>
      </c>
      <c r="P8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Row],[orderNum]],ТабПозиции[orderSumm])&gt;1500),ABS(N877*VLOOKUP(ТабПозиции[[#This Row],[orderNum]],ТабЗаказы[#Data],MATCH("Percent",ТабЗаказы[#Headers],0),0))/100,200/COUNTIF(ТабПозиции[orderNum],ТабПозиции[[#This Row],[orderNum]])),0),"")</f>
        <v>139</v>
      </c>
      <c r="Q877">
        <f>IF(OR(ТабПозиции[[#This Row],[item]]="По штрихкоду",ТабПозиции[[#This Row],[item]]="Посылка"),ТабПозиции[[#This Row],[deliverySumm]]+ТабПозиции[[#This Row],[deliveryPost]],SUM(N877:P877))</f>
        <v>1066</v>
      </c>
      <c r="R877" s="41">
        <v>1066</v>
      </c>
      <c r="S877" s="46">
        <f>ТабПозиции[[#This Row],[totalSumm]]-ТабПозиции[[#This Row],[payment]]</f>
        <v>0</v>
      </c>
      <c r="T877" s="18" t="s">
        <v>970</v>
      </c>
      <c r="U877" s="40" t="s">
        <v>545</v>
      </c>
      <c r="V877" s="40" t="s">
        <v>545</v>
      </c>
      <c r="W877" s="40" t="s">
        <v>545</v>
      </c>
      <c r="X877" s="3"/>
      <c r="Y877"/>
    </row>
    <row r="878" spans="1:25" hidden="1" x14ac:dyDescent="0.25">
      <c r="A878" s="10">
        <v>250</v>
      </c>
      <c r="B878" s="1">
        <f>IFERROR(VLOOKUP(ТабПозиции[[#This Row],[orderNum]],ТабЗаказы[#Data],MATCH(B$7,ТабЗаказы[#Headers],0),0),"")</f>
        <v>45548</v>
      </c>
      <c r="C878" t="str">
        <f>MONTH(ТабПозиции[[#This Row],[date]])&amp;"/"&amp;YEAR(ТабПозиции[[#This Row],[date]])</f>
        <v>9/2024</v>
      </c>
      <c r="D878" s="1" t="str">
        <f>IFERROR(VLOOKUP(ТабПозиции[[#This Row],[orderNum]],ТабЗаказы[#Data],MATCH(D$7,ТабЗаказы[#Headers],0),0),"")</f>
        <v/>
      </c>
      <c r="E878" s="1" t="str">
        <f>IFERROR(VLOOKUP(ТабПозиции[[#This Row],[orderNum]],ТабЗаказы[#Data],MATCH(E$7,ТабЗаказы[#Headers],0),0),"")</f>
        <v/>
      </c>
      <c r="F878" s="16" t="s">
        <v>1374</v>
      </c>
      <c r="G878" s="40" t="s">
        <v>545</v>
      </c>
      <c r="I878" s="18">
        <v>45550</v>
      </c>
      <c r="J878" s="10">
        <v>1</v>
      </c>
      <c r="K878" s="10">
        <v>151</v>
      </c>
      <c r="L878">
        <v>151</v>
      </c>
      <c r="M878" s="10">
        <v>159</v>
      </c>
      <c r="N878">
        <f t="shared" si="15"/>
        <v>159</v>
      </c>
      <c r="P8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Row],[orderNum]],ТабПозиции[orderSumm])&gt;1500),ABS(N878*VLOOKUP(ТабПозиции[[#This Row],[orderNum]],ТабЗаказы[#Data],MATCH("Percent",ТабЗаказы[#Headers],0),0))/100,200/COUNTIF(ТабПозиции[orderNum],ТабПозиции[[#This Row],[orderNum]])),0),"")</f>
        <v>24</v>
      </c>
      <c r="Q878">
        <f>IF(OR(ТабПозиции[[#This Row],[item]]="По штрихкоду",ТабПозиции[[#This Row],[item]]="Посылка"),ТабПозиции[[#This Row],[deliverySumm]]+ТабПозиции[[#This Row],[deliveryPost]],SUM(N878:P878))</f>
        <v>183</v>
      </c>
      <c r="R878" s="41">
        <v>183</v>
      </c>
      <c r="S878" s="46">
        <f>ТабПозиции[[#This Row],[totalSumm]]-ТабПозиции[[#This Row],[payment]]</f>
        <v>0</v>
      </c>
      <c r="T878" s="18" t="s">
        <v>960</v>
      </c>
      <c r="U878" s="40" t="s">
        <v>545</v>
      </c>
      <c r="V878" s="40" t="s">
        <v>545</v>
      </c>
      <c r="W878" s="40" t="s">
        <v>545</v>
      </c>
      <c r="X878" s="3"/>
      <c r="Y878"/>
    </row>
    <row r="879" spans="1:25" hidden="1" x14ac:dyDescent="0.25">
      <c r="A879" s="10">
        <v>250</v>
      </c>
      <c r="B879" s="1">
        <f>IFERROR(VLOOKUP(ТабПозиции[[#This Row],[orderNum]],ТабЗаказы[#Data],MATCH(B$7,ТабЗаказы[#Headers],0),0),"")</f>
        <v>45548</v>
      </c>
      <c r="C879" t="str">
        <f>MONTH(ТабПозиции[[#This Row],[date]])&amp;"/"&amp;YEAR(ТабПозиции[[#This Row],[date]])</f>
        <v>9/2024</v>
      </c>
      <c r="D879" s="1" t="str">
        <f>IFERROR(VLOOKUP(ТабПозиции[[#This Row],[orderNum]],ТабЗаказы[#Data],MATCH(D$7,ТабЗаказы[#Headers],0),0),"")</f>
        <v/>
      </c>
      <c r="E879" s="1" t="str">
        <f>IFERROR(VLOOKUP(ТабПозиции[[#This Row],[orderNum]],ТабЗаказы[#Data],MATCH(E$7,ТабЗаказы[#Headers],0),0),"")</f>
        <v/>
      </c>
      <c r="F879" s="16" t="s">
        <v>682</v>
      </c>
      <c r="G879" s="40" t="s">
        <v>545</v>
      </c>
      <c r="I879" s="18">
        <v>45550</v>
      </c>
      <c r="J879" s="10">
        <v>1</v>
      </c>
      <c r="K879" s="10">
        <v>244</v>
      </c>
      <c r="L879">
        <v>244</v>
      </c>
      <c r="M879" s="10">
        <v>249</v>
      </c>
      <c r="N879">
        <f t="shared" si="15"/>
        <v>249</v>
      </c>
      <c r="P8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Row],[orderNum]],ТабПозиции[orderSumm])&gt;1500),ABS(N879*VLOOKUP(ТабПозиции[[#This Row],[orderNum]],ТабЗаказы[#Data],MATCH("Percent",ТабЗаказы[#Headers],0),0))/100,200/COUNTIF(ТабПозиции[orderNum],ТабПозиции[[#This Row],[orderNum]])),0),"")</f>
        <v>37</v>
      </c>
      <c r="Q879">
        <f>IF(OR(ТабПозиции[[#This Row],[item]]="По штрихкоду",ТабПозиции[[#This Row],[item]]="Посылка"),ТабПозиции[[#This Row],[deliverySumm]]+ТабПозиции[[#This Row],[deliveryPost]],SUM(N879:P879))</f>
        <v>286</v>
      </c>
      <c r="R879" s="41">
        <v>286</v>
      </c>
      <c r="S879" s="46">
        <f>ТабПозиции[[#This Row],[totalSumm]]-ТабПозиции[[#This Row],[payment]]</f>
        <v>0</v>
      </c>
      <c r="T879" s="18" t="s">
        <v>960</v>
      </c>
      <c r="U879" s="40" t="s">
        <v>545</v>
      </c>
      <c r="V879" s="40" t="s">
        <v>545</v>
      </c>
      <c r="W879" s="40" t="s">
        <v>545</v>
      </c>
      <c r="X879" s="3"/>
      <c r="Y879"/>
    </row>
    <row r="880" spans="1:25" hidden="1" x14ac:dyDescent="0.25">
      <c r="A880" s="10">
        <v>250</v>
      </c>
      <c r="B880" s="1">
        <f>IFERROR(VLOOKUP(ТабПозиции[[#This Row],[orderNum]],ТабЗаказы[#Data],MATCH(B$7,ТабЗаказы[#Headers],0),0),"")</f>
        <v>45548</v>
      </c>
      <c r="C880" t="str">
        <f>MONTH(ТабПозиции[[#This Row],[date]])&amp;"/"&amp;YEAR(ТабПозиции[[#This Row],[date]])</f>
        <v>9/2024</v>
      </c>
      <c r="D880" s="1" t="str">
        <f>IFERROR(VLOOKUP(ТабПозиции[[#This Row],[orderNum]],ТабЗаказы[#Data],MATCH(D$7,ТабЗаказы[#Headers],0),0),"")</f>
        <v/>
      </c>
      <c r="E880" s="1" t="str">
        <f>IFERROR(VLOOKUP(ТабПозиции[[#This Row],[orderNum]],ТабЗаказы[#Data],MATCH(E$7,ТабЗаказы[#Headers],0),0),"")</f>
        <v/>
      </c>
      <c r="F880" s="16" t="s">
        <v>1375</v>
      </c>
      <c r="G880" s="40" t="s">
        <v>545</v>
      </c>
      <c r="I880" s="18">
        <v>45550</v>
      </c>
      <c r="J880" s="10">
        <v>1</v>
      </c>
      <c r="K880" s="10">
        <v>642</v>
      </c>
      <c r="L880">
        <v>642</v>
      </c>
      <c r="M880" s="10">
        <v>680</v>
      </c>
      <c r="N880">
        <f t="shared" si="15"/>
        <v>680</v>
      </c>
      <c r="P8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Row],[orderNum]],ТабПозиции[orderSumm])&gt;1500),ABS(N880*VLOOKUP(ТабПозиции[[#This Row],[orderNum]],ТабЗаказы[#Data],MATCH("Percent",ТабЗаказы[#Headers],0),0))/100,200/COUNTIF(ТабПозиции[orderNum],ТабПозиции[[#This Row],[orderNum]])),0),"")</f>
        <v>102</v>
      </c>
      <c r="Q880">
        <f>IF(OR(ТабПозиции[[#This Row],[item]]="По штрихкоду",ТабПозиции[[#This Row],[item]]="Посылка"),ТабПозиции[[#This Row],[deliverySumm]]+ТабПозиции[[#This Row],[deliveryPost]],SUM(N880:P880))</f>
        <v>782</v>
      </c>
      <c r="R880" s="41">
        <v>782</v>
      </c>
      <c r="S880" s="46">
        <f>ТабПозиции[[#This Row],[totalSumm]]-ТабПозиции[[#This Row],[payment]]</f>
        <v>0</v>
      </c>
      <c r="T880" s="18" t="s">
        <v>960</v>
      </c>
      <c r="U880" s="40" t="s">
        <v>545</v>
      </c>
      <c r="V880" s="40" t="s">
        <v>545</v>
      </c>
      <c r="W880" s="40" t="s">
        <v>545</v>
      </c>
      <c r="X880" s="3"/>
      <c r="Y880"/>
    </row>
    <row r="881" spans="1:25" hidden="1" x14ac:dyDescent="0.25">
      <c r="A881" s="10">
        <v>251</v>
      </c>
      <c r="B881" s="1">
        <f>IFERROR(VLOOKUP(ТабПозиции[[#This Row],[orderNum]],ТабЗаказы[#Data],MATCH(B$7,ТабЗаказы[#Headers],0),0),"")</f>
        <v>45548</v>
      </c>
      <c r="C881" t="str">
        <f>MONTH(ТабПозиции[[#This Row],[date]])&amp;"/"&amp;YEAR(ТабПозиции[[#This Row],[date]])</f>
        <v>9/2024</v>
      </c>
      <c r="D881" s="1" t="str">
        <f>IFERROR(VLOOKUP(ТабПозиции[[#This Row],[orderNum]],ТабЗаказы[#Data],MATCH(D$7,ТабЗаказы[#Headers],0),0),"")</f>
        <v/>
      </c>
      <c r="E881" s="1" t="str">
        <f>IFERROR(VLOOKUP(ТабПозиции[[#This Row],[orderNum]],ТабЗаказы[#Data],MATCH(E$7,ТабЗаказы[#Headers],0),0),"")</f>
        <v/>
      </c>
      <c r="F881" s="16" t="s">
        <v>1376</v>
      </c>
      <c r="G881" s="40" t="s">
        <v>545</v>
      </c>
      <c r="H881" s="12" t="s">
        <v>1397</v>
      </c>
      <c r="I881" s="18">
        <v>45560</v>
      </c>
      <c r="J881" s="10">
        <v>1</v>
      </c>
      <c r="K881" s="10">
        <v>4500</v>
      </c>
      <c r="L881">
        <v>4500</v>
      </c>
      <c r="M881" s="10">
        <v>4500</v>
      </c>
      <c r="N881">
        <f t="shared" si="15"/>
        <v>4500</v>
      </c>
      <c r="O881" s="10">
        <v>318</v>
      </c>
      <c r="P8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Row],[orderNum]],ТабПозиции[orderSumm])&gt;1500),ABS(N881*VLOOKUP(ТабПозиции[[#This Row],[orderNum]],ТабЗаказы[#Data],MATCH("Percent",ТабЗаказы[#Headers],0),0))/100,200/COUNTIF(ТабПозиции[orderNum],ТабПозиции[[#This Row],[orderNum]])),0),"")</f>
        <v>675</v>
      </c>
      <c r="Q881">
        <f>IF(OR(ТабПозиции[[#This Row],[item]]="По штрихкоду",ТабПозиции[[#This Row],[item]]="Посылка"),ТабПозиции[[#This Row],[deliverySumm]]+ТабПозиции[[#This Row],[deliveryPost]],SUM(N881:P881))</f>
        <v>5493</v>
      </c>
      <c r="R881" s="41">
        <v>5493</v>
      </c>
      <c r="S881" s="46">
        <f>ТабПозиции[[#This Row],[totalSumm]]-ТабПозиции[[#This Row],[payment]]</f>
        <v>0</v>
      </c>
      <c r="T881" s="18" t="s">
        <v>1016</v>
      </c>
      <c r="U881" s="40" t="s">
        <v>545</v>
      </c>
      <c r="V881" s="40" t="s">
        <v>545</v>
      </c>
      <c r="W881" s="40" t="s">
        <v>545</v>
      </c>
      <c r="X881" s="3"/>
      <c r="Y881"/>
    </row>
    <row r="882" spans="1:25" hidden="1" x14ac:dyDescent="0.25">
      <c r="A882" s="10">
        <v>252</v>
      </c>
      <c r="B882" s="1">
        <f>IFERROR(VLOOKUP(ТабПозиции[[#This Row],[orderNum]],ТабЗаказы[#Data],MATCH(B$7,ТабЗаказы[#Headers],0),0),"")</f>
        <v>45549</v>
      </c>
      <c r="C882" t="str">
        <f>MONTH(ТабПозиции[[#This Row],[date]])&amp;"/"&amp;YEAR(ТабПозиции[[#This Row],[date]])</f>
        <v>9/2024</v>
      </c>
      <c r="D882" s="1" t="str">
        <f>IFERROR(VLOOKUP(ТабПозиции[[#This Row],[orderNum]],ТабЗаказы[#Data],MATCH(D$7,ТабЗаказы[#Headers],0),0),"")</f>
        <v/>
      </c>
      <c r="E882" s="1" t="str">
        <f>IFERROR(VLOOKUP(ТабПозиции[[#This Row],[orderNum]],ТабЗаказы[#Data],MATCH(E$7,ТабЗаказы[#Headers],0),0),"")</f>
        <v/>
      </c>
      <c r="F882" s="16" t="s">
        <v>1337</v>
      </c>
      <c r="G882" s="40" t="s">
        <v>545</v>
      </c>
      <c r="I882" s="18">
        <v>45551</v>
      </c>
      <c r="J882" s="10">
        <v>1</v>
      </c>
      <c r="K882" s="10">
        <v>3026</v>
      </c>
      <c r="L882">
        <v>3026</v>
      </c>
      <c r="M882" s="10">
        <v>3185</v>
      </c>
      <c r="N882">
        <f t="shared" si="15"/>
        <v>3185</v>
      </c>
      <c r="P8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Row],[orderNum]],ТабПозиции[orderSumm])&gt;1500),ABS(N882*VLOOKUP(ТабПозиции[[#This Row],[orderNum]],ТабЗаказы[#Data],MATCH("Percent",ТабЗаказы[#Headers],0),0))/100,200/COUNTIF(ТабПозиции[orderNum],ТабПозиции[[#This Row],[orderNum]])),0),"")</f>
        <v>478</v>
      </c>
      <c r="Q882">
        <f>IF(OR(ТабПозиции[[#This Row],[item]]="По штрихкоду",ТабПозиции[[#This Row],[item]]="Посылка"),ТабПозиции[[#This Row],[deliverySumm]]+ТабПозиции[[#This Row],[deliveryPost]],SUM(N882:P882))</f>
        <v>3663</v>
      </c>
      <c r="R882" s="41">
        <v>3663</v>
      </c>
      <c r="S882" s="46">
        <f>ТабПозиции[[#This Row],[totalSumm]]-ТабПозиции[[#This Row],[payment]]</f>
        <v>0</v>
      </c>
      <c r="T882" s="18" t="s">
        <v>970</v>
      </c>
      <c r="U882" s="40" t="s">
        <v>545</v>
      </c>
      <c r="V882" s="40" t="s">
        <v>545</v>
      </c>
      <c r="W882" s="40" t="s">
        <v>545</v>
      </c>
      <c r="X882" s="3"/>
      <c r="Y882"/>
    </row>
    <row r="883" spans="1:25" hidden="1" x14ac:dyDescent="0.25">
      <c r="A883" s="10">
        <v>253</v>
      </c>
      <c r="B883" s="1">
        <f>IFERROR(VLOOKUP(ТабПозиции[[#This Row],[orderNum]],ТабЗаказы[#Data],MATCH(B$7,ТабЗаказы[#Headers],0),0),"")</f>
        <v>45549</v>
      </c>
      <c r="C883" t="str">
        <f>MONTH(ТабПозиции[[#This Row],[date]])&amp;"/"&amp;YEAR(ТабПозиции[[#This Row],[date]])</f>
        <v>9/2024</v>
      </c>
      <c r="D883" s="1" t="str">
        <f>IFERROR(VLOOKUP(ТабПозиции[[#This Row],[orderNum]],ТабЗаказы[#Data],MATCH(D$7,ТабЗаказы[#Headers],0),0),"")</f>
        <v/>
      </c>
      <c r="E883" s="1" t="str">
        <f>IFERROR(VLOOKUP(ТабПозиции[[#This Row],[orderNum]],ТабЗаказы[#Data],MATCH(E$7,ТабЗаказы[#Headers],0),0),"")</f>
        <v/>
      </c>
      <c r="F883" s="16" t="s">
        <v>1377</v>
      </c>
      <c r="G883" s="40" t="s">
        <v>545</v>
      </c>
      <c r="I883" s="18">
        <v>45556</v>
      </c>
      <c r="J883" s="10">
        <v>1</v>
      </c>
      <c r="K883" s="10">
        <v>1641</v>
      </c>
      <c r="L883">
        <v>1641</v>
      </c>
      <c r="M883" s="10">
        <v>1709</v>
      </c>
      <c r="N883">
        <f t="shared" si="15"/>
        <v>1709</v>
      </c>
      <c r="P8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Row],[orderNum]],ТабПозиции[orderSumm])&gt;1500),ABS(N883*VLOOKUP(ТабПозиции[[#This Row],[orderNum]],ТабЗаказы[#Data],MATCH("Percent",ТабЗаказы[#Headers],0),0))/100,200/COUNTIF(ТабПозиции[orderNum],ТабПозиции[[#This Row],[orderNum]])),0),"")</f>
        <v>171</v>
      </c>
      <c r="Q883">
        <f>IF(OR(ТабПозиции[[#This Row],[item]]="По штрихкоду",ТабПозиции[[#This Row],[item]]="Посылка"),ТабПозиции[[#This Row],[deliverySumm]]+ТабПозиции[[#This Row],[deliveryPost]],SUM(N883:P883))</f>
        <v>1880</v>
      </c>
      <c r="R883" s="41">
        <v>1880</v>
      </c>
      <c r="S883" s="46">
        <f>ТабПозиции[[#This Row],[totalSumm]]-ТабПозиции[[#This Row],[payment]]</f>
        <v>0</v>
      </c>
      <c r="T883" s="18" t="s">
        <v>960</v>
      </c>
      <c r="U883" s="40" t="s">
        <v>545</v>
      </c>
      <c r="V883" s="40" t="s">
        <v>545</v>
      </c>
      <c r="W883" s="40" t="s">
        <v>545</v>
      </c>
      <c r="X883" s="3"/>
      <c r="Y883"/>
    </row>
    <row r="884" spans="1:25" hidden="1" x14ac:dyDescent="0.25">
      <c r="A884" s="10">
        <v>253</v>
      </c>
      <c r="B884" s="1">
        <f>IFERROR(VLOOKUP(ТабПозиции[[#This Row],[orderNum]],ТабЗаказы[#Data],MATCH(B$7,ТабЗаказы[#Headers],0),0),"")</f>
        <v>45549</v>
      </c>
      <c r="C884" t="str">
        <f>MONTH(ТабПозиции[[#This Row],[date]])&amp;"/"&amp;YEAR(ТабПозиции[[#This Row],[date]])</f>
        <v>9/2024</v>
      </c>
      <c r="D884" s="1" t="str">
        <f>IFERROR(VLOOKUP(ТабПозиции[[#This Row],[orderNum]],ТабЗаказы[#Data],MATCH(D$7,ТабЗаказы[#Headers],0),0),"")</f>
        <v/>
      </c>
      <c r="E884" s="1" t="str">
        <f>IFERROR(VLOOKUP(ТабПозиции[[#This Row],[orderNum]],ТабЗаказы[#Data],MATCH(E$7,ТабЗаказы[#Headers],0),0),"")</f>
        <v/>
      </c>
      <c r="F884" s="16" t="s">
        <v>668</v>
      </c>
      <c r="G884" s="40" t="s">
        <v>545</v>
      </c>
      <c r="I884" s="18">
        <v>45552</v>
      </c>
      <c r="J884" s="10">
        <v>1</v>
      </c>
      <c r="K884" s="10">
        <v>475</v>
      </c>
      <c r="L884">
        <v>475</v>
      </c>
      <c r="M884" s="10">
        <v>501</v>
      </c>
      <c r="N884">
        <f t="shared" si="15"/>
        <v>501</v>
      </c>
      <c r="P8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Row],[orderNum]],ТабПозиции[orderSumm])&gt;1500),ABS(N884*VLOOKUP(ТабПозиции[[#This Row],[orderNum]],ТабЗаказы[#Data],MATCH("Percent",ТабЗаказы[#Headers],0),0))/100,200/COUNTIF(ТабПозиции[orderNum],ТабПозиции[[#This Row],[orderNum]])),0),"")</f>
        <v>50</v>
      </c>
      <c r="Q884">
        <f>IF(OR(ТабПозиции[[#This Row],[item]]="По штрихкоду",ТабПозиции[[#This Row],[item]]="Посылка"),ТабПозиции[[#This Row],[deliverySumm]]+ТабПозиции[[#This Row],[deliveryPost]],SUM(N884:P884))</f>
        <v>551</v>
      </c>
      <c r="R884" s="41">
        <v>551</v>
      </c>
      <c r="S884" s="46">
        <f>ТабПозиции[[#This Row],[totalSumm]]-ТабПозиции[[#This Row],[payment]]</f>
        <v>0</v>
      </c>
      <c r="T884" s="18" t="s">
        <v>970</v>
      </c>
      <c r="U884" s="40" t="s">
        <v>545</v>
      </c>
      <c r="V884" s="40" t="s">
        <v>545</v>
      </c>
      <c r="W884" s="40" t="s">
        <v>545</v>
      </c>
      <c r="X884" s="3"/>
      <c r="Y884"/>
    </row>
    <row r="885" spans="1:25" hidden="1" x14ac:dyDescent="0.25">
      <c r="A885" s="10">
        <v>253</v>
      </c>
      <c r="B885" s="1">
        <f>IFERROR(VLOOKUP(ТабПозиции[[#This Row],[orderNum]],ТабЗаказы[#Data],MATCH(B$7,ТабЗаказы[#Headers],0),0),"")</f>
        <v>45549</v>
      </c>
      <c r="C885" t="str">
        <f>MONTH(ТабПозиции[[#This Row],[date]])&amp;"/"&amp;YEAR(ТабПозиции[[#This Row],[date]])</f>
        <v>9/2024</v>
      </c>
      <c r="D885" s="1" t="str">
        <f>IFERROR(VLOOKUP(ТабПозиции[[#This Row],[orderNum]],ТабЗаказы[#Data],MATCH(D$7,ТабЗаказы[#Headers],0),0),"")</f>
        <v/>
      </c>
      <c r="E885" s="1" t="str">
        <f>IFERROR(VLOOKUP(ТабПозиции[[#This Row],[orderNum]],ТабЗаказы[#Data],MATCH(E$7,ТабЗаказы[#Headers],0),0),"")</f>
        <v/>
      </c>
      <c r="F885" s="16" t="s">
        <v>668</v>
      </c>
      <c r="G885" s="40" t="s">
        <v>545</v>
      </c>
      <c r="I885" s="18">
        <v>45552</v>
      </c>
      <c r="J885" s="10">
        <v>1</v>
      </c>
      <c r="K885" s="10">
        <v>292</v>
      </c>
      <c r="L885">
        <v>292</v>
      </c>
      <c r="M885" s="10">
        <v>308</v>
      </c>
      <c r="N885">
        <f t="shared" si="15"/>
        <v>308</v>
      </c>
      <c r="P8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Row],[orderNum]],ТабПозиции[orderSumm])&gt;1500),ABS(N885*VLOOKUP(ТабПозиции[[#This Row],[orderNum]],ТабЗаказы[#Data],MATCH("Percent",ТабЗаказы[#Headers],0),0))/100,200/COUNTIF(ТабПозиции[orderNum],ТабПозиции[[#This Row],[orderNum]])),0),"")</f>
        <v>31</v>
      </c>
      <c r="Q885">
        <f>IF(OR(ТабПозиции[[#This Row],[item]]="По штрихкоду",ТабПозиции[[#This Row],[item]]="Посылка"),ТабПозиции[[#This Row],[deliverySumm]]+ТабПозиции[[#This Row],[deliveryPost]],SUM(N885:P885))</f>
        <v>339</v>
      </c>
      <c r="R885" s="41">
        <v>339</v>
      </c>
      <c r="S885" s="46">
        <f>ТабПозиции[[#This Row],[totalSumm]]-ТабПозиции[[#This Row],[payment]]</f>
        <v>0</v>
      </c>
      <c r="T885" s="18" t="s">
        <v>970</v>
      </c>
      <c r="U885" s="40" t="s">
        <v>545</v>
      </c>
      <c r="V885" s="40" t="s">
        <v>545</v>
      </c>
      <c r="W885" s="40" t="s">
        <v>545</v>
      </c>
      <c r="X885" s="3"/>
      <c r="Y885"/>
    </row>
    <row r="886" spans="1:25" hidden="1" x14ac:dyDescent="0.25">
      <c r="A886" s="10">
        <v>253</v>
      </c>
      <c r="B886" s="1">
        <f>IFERROR(VLOOKUP(ТабПозиции[[#This Row],[orderNum]],ТабЗаказы[#Data],MATCH(B$7,ТабЗаказы[#Headers],0),0),"")</f>
        <v>45549</v>
      </c>
      <c r="C886" t="str">
        <f>MONTH(ТабПозиции[[#This Row],[date]])&amp;"/"&amp;YEAR(ТабПозиции[[#This Row],[date]])</f>
        <v>9/2024</v>
      </c>
      <c r="D886" s="1" t="str">
        <f>IFERROR(VLOOKUP(ТабПозиции[[#This Row],[orderNum]],ТабЗаказы[#Data],MATCH(D$7,ТабЗаказы[#Headers],0),0),"")</f>
        <v/>
      </c>
      <c r="E886" s="1" t="str">
        <f>IFERROR(VLOOKUP(ТабПозиции[[#This Row],[orderNum]],ТабЗаказы[#Data],MATCH(E$7,ТабЗаказы[#Headers],0),0),"")</f>
        <v/>
      </c>
      <c r="F886" s="16" t="s">
        <v>1378</v>
      </c>
      <c r="G886" s="40" t="s">
        <v>545</v>
      </c>
      <c r="I886" s="18">
        <v>45551</v>
      </c>
      <c r="J886" s="10">
        <v>1</v>
      </c>
      <c r="K886" s="10">
        <v>128</v>
      </c>
      <c r="L886">
        <v>128</v>
      </c>
      <c r="M886" s="10">
        <v>135</v>
      </c>
      <c r="N886">
        <f t="shared" si="15"/>
        <v>135</v>
      </c>
      <c r="P8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Row],[orderNum]],ТабПозиции[orderSumm])&gt;1500),ABS(N886*VLOOKUP(ТабПозиции[[#This Row],[orderNum]],ТабЗаказы[#Data],MATCH("Percent",ТабЗаказы[#Headers],0),0))/100,200/COUNTIF(ТабПозиции[orderNum],ТабПозиции[[#This Row],[orderNum]])),0),"")</f>
        <v>14</v>
      </c>
      <c r="Q886">
        <f>IF(OR(ТабПозиции[[#This Row],[item]]="По штрихкоду",ТабПозиции[[#This Row],[item]]="Посылка"),ТабПозиции[[#This Row],[deliverySumm]]+ТабПозиции[[#This Row],[deliveryPost]],SUM(N886:P886))</f>
        <v>149</v>
      </c>
      <c r="R886" s="41">
        <v>149</v>
      </c>
      <c r="S886" s="46">
        <f>ТабПозиции[[#This Row],[totalSumm]]-ТабПозиции[[#This Row],[payment]]</f>
        <v>0</v>
      </c>
      <c r="T886" s="18" t="s">
        <v>970</v>
      </c>
      <c r="U886" s="40" t="s">
        <v>545</v>
      </c>
      <c r="V886" s="40" t="s">
        <v>545</v>
      </c>
      <c r="W886" s="40" t="s">
        <v>545</v>
      </c>
      <c r="X886" s="3"/>
      <c r="Y886"/>
    </row>
    <row r="887" spans="1:25" hidden="1" x14ac:dyDescent="0.25">
      <c r="A887" s="10">
        <v>253</v>
      </c>
      <c r="B887" s="1">
        <f>IFERROR(VLOOKUP(ТабПозиции[[#This Row],[orderNum]],ТабЗаказы[#Data],MATCH(B$7,ТабЗаказы[#Headers],0),0),"")</f>
        <v>45549</v>
      </c>
      <c r="C887" t="str">
        <f>MONTH(ТабПозиции[[#This Row],[date]])&amp;"/"&amp;YEAR(ТабПозиции[[#This Row],[date]])</f>
        <v>9/2024</v>
      </c>
      <c r="D887" s="1" t="str">
        <f>IFERROR(VLOOKUP(ТабПозиции[[#This Row],[orderNum]],ТабЗаказы[#Data],MATCH(D$7,ТабЗаказы[#Headers],0),0),"")</f>
        <v/>
      </c>
      <c r="E887" s="1" t="str">
        <f>IFERROR(VLOOKUP(ТабПозиции[[#This Row],[orderNum]],ТабЗаказы[#Data],MATCH(E$7,ТабЗаказы[#Headers],0),0),"")</f>
        <v/>
      </c>
      <c r="F887" s="16" t="s">
        <v>1378</v>
      </c>
      <c r="G887" s="40" t="s">
        <v>545</v>
      </c>
      <c r="I887" s="18">
        <v>45551</v>
      </c>
      <c r="J887" s="10">
        <v>1</v>
      </c>
      <c r="K887" s="10">
        <v>159</v>
      </c>
      <c r="L887">
        <v>159</v>
      </c>
      <c r="M887" s="10">
        <v>168</v>
      </c>
      <c r="N887">
        <f t="shared" si="15"/>
        <v>168</v>
      </c>
      <c r="P8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Row],[orderNum]],ТабПозиции[orderSumm])&gt;1500),ABS(N887*VLOOKUP(ТабПозиции[[#This Row],[orderNum]],ТабЗаказы[#Data],MATCH("Percent",ТабЗаказы[#Headers],0),0))/100,200/COUNTIF(ТабПозиции[orderNum],ТабПозиции[[#This Row],[orderNum]])),0),"")</f>
        <v>17</v>
      </c>
      <c r="Q887">
        <f>IF(OR(ТабПозиции[[#This Row],[item]]="По штрихкоду",ТабПозиции[[#This Row],[item]]="Посылка"),ТабПозиции[[#This Row],[deliverySumm]]+ТабПозиции[[#This Row],[deliveryPost]],SUM(N887:P887))</f>
        <v>185</v>
      </c>
      <c r="R887" s="41">
        <v>185</v>
      </c>
      <c r="S887" s="46">
        <f>ТабПозиции[[#This Row],[totalSumm]]-ТабПозиции[[#This Row],[payment]]</f>
        <v>0</v>
      </c>
      <c r="T887" s="18" t="s">
        <v>970</v>
      </c>
      <c r="U887" s="40" t="s">
        <v>545</v>
      </c>
      <c r="V887" s="40" t="s">
        <v>545</v>
      </c>
      <c r="W887" s="40" t="s">
        <v>545</v>
      </c>
      <c r="X887" s="3"/>
      <c r="Y887"/>
    </row>
    <row r="888" spans="1:25" hidden="1" x14ac:dyDescent="0.25">
      <c r="A888" s="10">
        <v>253</v>
      </c>
      <c r="B888" s="1">
        <f>IFERROR(VLOOKUP(ТабПозиции[[#This Row],[orderNum]],ТабЗаказы[#Data],MATCH(B$7,ТабЗаказы[#Headers],0),0),"")</f>
        <v>45549</v>
      </c>
      <c r="C888" t="str">
        <f>MONTH(ТабПозиции[[#This Row],[date]])&amp;"/"&amp;YEAR(ТабПозиции[[#This Row],[date]])</f>
        <v>9/2024</v>
      </c>
      <c r="D888" s="1" t="str">
        <f>IFERROR(VLOOKUP(ТабПозиции[[#This Row],[orderNum]],ТабЗаказы[#Data],MATCH(D$7,ТабЗаказы[#Headers],0),0),"")</f>
        <v/>
      </c>
      <c r="E888" s="1" t="str">
        <f>IFERROR(VLOOKUP(ТабПозиции[[#This Row],[orderNum]],ТабЗаказы[#Data],MATCH(E$7,ТабЗаказы[#Headers],0),0),"")</f>
        <v/>
      </c>
      <c r="F888" s="16" t="s">
        <v>1378</v>
      </c>
      <c r="G888" s="40" t="s">
        <v>545</v>
      </c>
      <c r="I888" s="18">
        <v>45551</v>
      </c>
      <c r="J888" s="10">
        <v>1</v>
      </c>
      <c r="K888" s="10">
        <v>128</v>
      </c>
      <c r="L888">
        <v>128</v>
      </c>
      <c r="M888" s="10">
        <v>135</v>
      </c>
      <c r="N888">
        <f t="shared" si="15"/>
        <v>135</v>
      </c>
      <c r="P8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Row],[orderNum]],ТабПозиции[orderSumm])&gt;1500),ABS(N888*VLOOKUP(ТабПозиции[[#This Row],[orderNum]],ТабЗаказы[#Data],MATCH("Percent",ТабЗаказы[#Headers],0),0))/100,200/COUNTIF(ТабПозиции[orderNum],ТабПозиции[[#This Row],[orderNum]])),0),"")</f>
        <v>14</v>
      </c>
      <c r="Q888">
        <f>IF(OR(ТабПозиции[[#This Row],[item]]="По штрихкоду",ТабПозиции[[#This Row],[item]]="Посылка"),ТабПозиции[[#This Row],[deliverySumm]]+ТабПозиции[[#This Row],[deliveryPost]],SUM(N888:P888))</f>
        <v>149</v>
      </c>
      <c r="R888" s="41">
        <v>149</v>
      </c>
      <c r="S888" s="46">
        <f>ТабПозиции[[#This Row],[totalSumm]]-ТабПозиции[[#This Row],[payment]]</f>
        <v>0</v>
      </c>
      <c r="T888" s="18" t="s">
        <v>970</v>
      </c>
      <c r="U888" s="40" t="s">
        <v>545</v>
      </c>
      <c r="V888" s="40" t="s">
        <v>545</v>
      </c>
      <c r="W888" s="40" t="s">
        <v>545</v>
      </c>
      <c r="X888" s="3"/>
      <c r="Y888"/>
    </row>
    <row r="889" spans="1:25" hidden="1" x14ac:dyDescent="0.25">
      <c r="A889" s="10">
        <v>253</v>
      </c>
      <c r="B889" s="1">
        <f>IFERROR(VLOOKUP(ТабПозиции[[#This Row],[orderNum]],ТабЗаказы[#Data],MATCH(B$7,ТабЗаказы[#Headers],0),0),"")</f>
        <v>45549</v>
      </c>
      <c r="C889" t="str">
        <f>MONTH(ТабПозиции[[#This Row],[date]])&amp;"/"&amp;YEAR(ТабПозиции[[#This Row],[date]])</f>
        <v>9/2024</v>
      </c>
      <c r="D889" s="1" t="str">
        <f>IFERROR(VLOOKUP(ТабПозиции[[#This Row],[orderNum]],ТабЗаказы[#Data],MATCH(D$7,ТабЗаказы[#Headers],0),0),"")</f>
        <v/>
      </c>
      <c r="E889" s="1" t="str">
        <f>IFERROR(VLOOKUP(ТабПозиции[[#This Row],[orderNum]],ТабЗаказы[#Data],MATCH(E$7,ТабЗаказы[#Headers],0),0),"")</f>
        <v/>
      </c>
      <c r="F889" s="16" t="s">
        <v>1378</v>
      </c>
      <c r="G889" s="40" t="s">
        <v>545</v>
      </c>
      <c r="I889" s="18">
        <v>45551</v>
      </c>
      <c r="J889" s="10">
        <v>1</v>
      </c>
      <c r="K889" s="10">
        <v>151</v>
      </c>
      <c r="L889">
        <v>151</v>
      </c>
      <c r="M889" s="10">
        <v>159</v>
      </c>
      <c r="N889">
        <f t="shared" si="15"/>
        <v>159</v>
      </c>
      <c r="P8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Row],[orderNum]],ТабПозиции[orderSumm])&gt;1500),ABS(N889*VLOOKUP(ТабПозиции[[#This Row],[orderNum]],ТабЗаказы[#Data],MATCH("Percent",ТабЗаказы[#Headers],0),0))/100,200/COUNTIF(ТабПозиции[orderNum],ТабПозиции[[#This Row],[orderNum]])),0),"")</f>
        <v>16</v>
      </c>
      <c r="Q889">
        <f>IF(OR(ТабПозиции[[#This Row],[item]]="По штрихкоду",ТабПозиции[[#This Row],[item]]="Посылка"),ТабПозиции[[#This Row],[deliverySumm]]+ТабПозиции[[#This Row],[deliveryPost]],SUM(N889:P889))</f>
        <v>175</v>
      </c>
      <c r="R889" s="41">
        <v>175</v>
      </c>
      <c r="S889" s="46">
        <f>ТабПозиции[[#This Row],[totalSumm]]-ТабПозиции[[#This Row],[payment]]</f>
        <v>0</v>
      </c>
      <c r="T889" s="18" t="s">
        <v>970</v>
      </c>
      <c r="U889" s="40" t="s">
        <v>545</v>
      </c>
      <c r="V889" s="40" t="s">
        <v>545</v>
      </c>
      <c r="W889" s="40" t="s">
        <v>545</v>
      </c>
      <c r="X889" s="3"/>
      <c r="Y889"/>
    </row>
    <row r="890" spans="1:25" hidden="1" x14ac:dyDescent="0.25">
      <c r="A890" s="10">
        <v>253</v>
      </c>
      <c r="B890" s="1">
        <f>IFERROR(VLOOKUP(ТабПозиции[[#This Row],[orderNum]],ТабЗаказы[#Data],MATCH(B$7,ТабЗаказы[#Headers],0),0),"")</f>
        <v>45549</v>
      </c>
      <c r="C890" t="str">
        <f>MONTH(ТабПозиции[[#This Row],[date]])&amp;"/"&amp;YEAR(ТабПозиции[[#This Row],[date]])</f>
        <v>9/2024</v>
      </c>
      <c r="D890" s="1" t="str">
        <f>IFERROR(VLOOKUP(ТабПозиции[[#This Row],[orderNum]],ТабЗаказы[#Data],MATCH(D$7,ТабЗаказы[#Headers],0),0),"")</f>
        <v/>
      </c>
      <c r="E890" s="1" t="str">
        <f>IFERROR(VLOOKUP(ТабПозиции[[#This Row],[orderNum]],ТабЗаказы[#Data],MATCH(E$7,ТабЗаказы[#Headers],0),0),"")</f>
        <v/>
      </c>
      <c r="F890" s="16" t="s">
        <v>1378</v>
      </c>
      <c r="G890" s="40" t="s">
        <v>545</v>
      </c>
      <c r="I890" s="18">
        <v>45551</v>
      </c>
      <c r="J890" s="10">
        <v>1</v>
      </c>
      <c r="K890" s="10">
        <v>242</v>
      </c>
      <c r="L890">
        <v>242</v>
      </c>
      <c r="M890" s="10">
        <v>255</v>
      </c>
      <c r="N890">
        <f t="shared" si="15"/>
        <v>255</v>
      </c>
      <c r="P8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Row],[orderNum]],ТабПозиции[orderSumm])&gt;1500),ABS(N890*VLOOKUP(ТабПозиции[[#This Row],[orderNum]],ТабЗаказы[#Data],MATCH("Percent",ТабЗаказы[#Headers],0),0))/100,200/COUNTIF(ТабПозиции[orderNum],ТабПозиции[[#This Row],[orderNum]])),0),"")</f>
        <v>26</v>
      </c>
      <c r="Q890">
        <f>IF(OR(ТабПозиции[[#This Row],[item]]="По штрихкоду",ТабПозиции[[#This Row],[item]]="Посылка"),ТабПозиции[[#This Row],[deliverySumm]]+ТабПозиции[[#This Row],[deliveryPost]],SUM(N890:P890))</f>
        <v>281</v>
      </c>
      <c r="R890" s="41">
        <v>281</v>
      </c>
      <c r="S890" s="46">
        <f>ТабПозиции[[#This Row],[totalSumm]]-ТабПозиции[[#This Row],[payment]]</f>
        <v>0</v>
      </c>
      <c r="T890" s="18" t="s">
        <v>970</v>
      </c>
      <c r="U890" s="40" t="s">
        <v>545</v>
      </c>
      <c r="V890" s="40" t="s">
        <v>545</v>
      </c>
      <c r="W890" s="40" t="s">
        <v>545</v>
      </c>
      <c r="X890" s="3"/>
      <c r="Y890"/>
    </row>
    <row r="891" spans="1:25" hidden="1" x14ac:dyDescent="0.25">
      <c r="A891" s="10">
        <v>253</v>
      </c>
      <c r="B891" s="1">
        <f>IFERROR(VLOOKUP(ТабПозиции[[#This Row],[orderNum]],ТабЗаказы[#Data],MATCH(B$7,ТабЗаказы[#Headers],0),0),"")</f>
        <v>45549</v>
      </c>
      <c r="C891" t="str">
        <f>MONTH(ТабПозиции[[#This Row],[date]])&amp;"/"&amp;YEAR(ТабПозиции[[#This Row],[date]])</f>
        <v>9/2024</v>
      </c>
      <c r="D891" s="1" t="str">
        <f>IFERROR(VLOOKUP(ТабПозиции[[#This Row],[orderNum]],ТабЗаказы[#Data],MATCH(D$7,ТабЗаказы[#Headers],0),0),"")</f>
        <v/>
      </c>
      <c r="E891" s="1" t="str">
        <f>IFERROR(VLOOKUP(ТабПозиции[[#This Row],[orderNum]],ТабЗаказы[#Data],MATCH(E$7,ТабЗаказы[#Headers],0),0),"")</f>
        <v/>
      </c>
      <c r="F891" s="16" t="s">
        <v>1378</v>
      </c>
      <c r="G891" s="40" t="s">
        <v>545</v>
      </c>
      <c r="I891" s="18">
        <v>45551</v>
      </c>
      <c r="J891" s="10">
        <v>1</v>
      </c>
      <c r="K891" s="10">
        <v>159</v>
      </c>
      <c r="L891">
        <v>159</v>
      </c>
      <c r="M891" s="10">
        <v>168</v>
      </c>
      <c r="N891">
        <f t="shared" si="15"/>
        <v>168</v>
      </c>
      <c r="P8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Row],[orderNum]],ТабПозиции[orderSumm])&gt;1500),ABS(N891*VLOOKUP(ТабПозиции[[#This Row],[orderNum]],ТабЗаказы[#Data],MATCH("Percent",ТабЗаказы[#Headers],0),0))/100,200/COUNTIF(ТабПозиции[orderNum],ТабПозиции[[#This Row],[orderNum]])),0),"")</f>
        <v>17</v>
      </c>
      <c r="Q891">
        <f>IF(OR(ТабПозиции[[#This Row],[item]]="По штрихкоду",ТабПозиции[[#This Row],[item]]="Посылка"),ТабПозиции[[#This Row],[deliverySumm]]+ТабПозиции[[#This Row],[deliveryPost]],SUM(N891:P891))</f>
        <v>185</v>
      </c>
      <c r="R891" s="41">
        <v>185</v>
      </c>
      <c r="S891" s="46">
        <f>ТабПозиции[[#This Row],[totalSumm]]-ТабПозиции[[#This Row],[payment]]</f>
        <v>0</v>
      </c>
      <c r="T891" s="18" t="s">
        <v>970</v>
      </c>
      <c r="U891" s="40" t="s">
        <v>545</v>
      </c>
      <c r="V891" s="40" t="s">
        <v>545</v>
      </c>
      <c r="W891" s="40" t="s">
        <v>545</v>
      </c>
      <c r="X891" s="3"/>
      <c r="Y891"/>
    </row>
    <row r="892" spans="1:25" hidden="1" x14ac:dyDescent="0.25">
      <c r="A892" s="10">
        <v>253</v>
      </c>
      <c r="B892" s="1">
        <f>IFERROR(VLOOKUP(ТабПозиции[[#This Row],[orderNum]],ТабЗаказы[#Data],MATCH(B$7,ТабЗаказы[#Headers],0),0),"")</f>
        <v>45549</v>
      </c>
      <c r="C892" t="str">
        <f>MONTH(ТабПозиции[[#This Row],[date]])&amp;"/"&amp;YEAR(ТабПозиции[[#This Row],[date]])</f>
        <v>9/2024</v>
      </c>
      <c r="D892" s="1" t="str">
        <f>IFERROR(VLOOKUP(ТабПозиции[[#This Row],[orderNum]],ТабЗаказы[#Data],MATCH(D$7,ТабЗаказы[#Headers],0),0),"")</f>
        <v/>
      </c>
      <c r="E892" s="1" t="str">
        <f>IFERROR(VLOOKUP(ТабПозиции[[#This Row],[orderNum]],ТабЗаказы[#Data],MATCH(E$7,ТабЗаказы[#Headers],0),0),"")</f>
        <v/>
      </c>
      <c r="F892" s="16" t="s">
        <v>1378</v>
      </c>
      <c r="G892" s="40" t="s">
        <v>545</v>
      </c>
      <c r="I892" s="18">
        <v>45551</v>
      </c>
      <c r="J892" s="10">
        <v>1</v>
      </c>
      <c r="K892" s="10">
        <v>156</v>
      </c>
      <c r="L892">
        <v>156</v>
      </c>
      <c r="M892" s="10">
        <v>165</v>
      </c>
      <c r="N892">
        <f t="shared" si="15"/>
        <v>165</v>
      </c>
      <c r="P8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Row],[orderNum]],ТабПозиции[orderSumm])&gt;1500),ABS(N892*VLOOKUP(ТабПозиции[[#This Row],[orderNum]],ТабЗаказы[#Data],MATCH("Percent",ТабЗаказы[#Headers],0),0))/100,200/COUNTIF(ТабПозиции[orderNum],ТабПозиции[[#This Row],[orderNum]])),0),"")</f>
        <v>17</v>
      </c>
      <c r="Q892">
        <f>IF(OR(ТабПозиции[[#This Row],[item]]="По штрихкоду",ТабПозиции[[#This Row],[item]]="Посылка"),ТабПозиции[[#This Row],[deliverySumm]]+ТабПозиции[[#This Row],[deliveryPost]],SUM(N892:P892))</f>
        <v>182</v>
      </c>
      <c r="R892" s="41">
        <v>182</v>
      </c>
      <c r="S892" s="46">
        <f>ТабПозиции[[#This Row],[totalSumm]]-ТабПозиции[[#This Row],[payment]]</f>
        <v>0</v>
      </c>
      <c r="T892" s="18" t="s">
        <v>970</v>
      </c>
      <c r="U892" s="40" t="s">
        <v>545</v>
      </c>
      <c r="V892" s="40" t="s">
        <v>545</v>
      </c>
      <c r="W892" s="40" t="s">
        <v>545</v>
      </c>
      <c r="X892" s="3"/>
      <c r="Y892"/>
    </row>
    <row r="893" spans="1:25" hidden="1" x14ac:dyDescent="0.25">
      <c r="A893" s="10">
        <v>253</v>
      </c>
      <c r="B893" s="1">
        <f>IFERROR(VLOOKUP(ТабПозиции[[#This Row],[orderNum]],ТабЗаказы[#Data],MATCH(B$7,ТабЗаказы[#Headers],0),0),"")</f>
        <v>45549</v>
      </c>
      <c r="C893" t="str">
        <f>MONTH(ТабПозиции[[#This Row],[date]])&amp;"/"&amp;YEAR(ТабПозиции[[#This Row],[date]])</f>
        <v>9/2024</v>
      </c>
      <c r="D893" s="1" t="str">
        <f>IFERROR(VLOOKUP(ТабПозиции[[#This Row],[orderNum]],ТабЗаказы[#Data],MATCH(D$7,ТабЗаказы[#Headers],0),0),"")</f>
        <v/>
      </c>
      <c r="E893" s="1" t="str">
        <f>IFERROR(VLOOKUP(ТабПозиции[[#This Row],[orderNum]],ТабЗаказы[#Data],MATCH(E$7,ТабЗаказы[#Headers],0),0),"")</f>
        <v/>
      </c>
      <c r="F893" s="16" t="s">
        <v>1378</v>
      </c>
      <c r="G893" s="40" t="s">
        <v>545</v>
      </c>
      <c r="I893" s="18">
        <v>45552</v>
      </c>
      <c r="J893" s="10">
        <v>1</v>
      </c>
      <c r="K893" s="10">
        <v>171</v>
      </c>
      <c r="L893">
        <v>171</v>
      </c>
      <c r="M893" s="10">
        <v>180</v>
      </c>
      <c r="N893">
        <f t="shared" si="15"/>
        <v>180</v>
      </c>
      <c r="P8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Row],[orderNum]],ТабПозиции[orderSumm])&gt;1500),ABS(N893*VLOOKUP(ТабПозиции[[#This Row],[orderNum]],ТабЗаказы[#Data],MATCH("Percent",ТабЗаказы[#Headers],0),0))/100,200/COUNTIF(ТабПозиции[orderNum],ТабПозиции[[#This Row],[orderNum]])),0),"")</f>
        <v>18</v>
      </c>
      <c r="Q893">
        <f>IF(OR(ТабПозиции[[#This Row],[item]]="По штрихкоду",ТабПозиции[[#This Row],[item]]="Посылка"),ТабПозиции[[#This Row],[deliverySumm]]+ТабПозиции[[#This Row],[deliveryPost]],SUM(N893:P893))</f>
        <v>198</v>
      </c>
      <c r="R893" s="41">
        <v>198</v>
      </c>
      <c r="S893" s="46">
        <f>ТабПозиции[[#This Row],[totalSumm]]-ТабПозиции[[#This Row],[payment]]</f>
        <v>0</v>
      </c>
      <c r="T893" s="18" t="s">
        <v>970</v>
      </c>
      <c r="U893" s="40" t="s">
        <v>545</v>
      </c>
      <c r="V893" s="40" t="s">
        <v>545</v>
      </c>
      <c r="W893" s="40" t="s">
        <v>545</v>
      </c>
      <c r="X893" s="3"/>
      <c r="Y893"/>
    </row>
    <row r="894" spans="1:25" hidden="1" x14ac:dyDescent="0.25">
      <c r="A894" s="10">
        <v>254</v>
      </c>
      <c r="B894" s="1">
        <f>IFERROR(VLOOKUP(ТабПозиции[[#This Row],[orderNum]],ТабЗаказы[#Data],MATCH(B$7,ТабЗаказы[#Headers],0),0),"")</f>
        <v>45551</v>
      </c>
      <c r="C894" t="str">
        <f>MONTH(ТабПозиции[[#This Row],[date]])&amp;"/"&amp;YEAR(ТабПозиции[[#This Row],[date]])</f>
        <v>9/2024</v>
      </c>
      <c r="D894" s="1" t="str">
        <f>IFERROR(VLOOKUP(ТабПозиции[[#This Row],[orderNum]],ТабЗаказы[#Data],MATCH(D$7,ТабЗаказы[#Headers],0),0),"")</f>
        <v/>
      </c>
      <c r="E894" s="1" t="str">
        <f>IFERROR(VLOOKUP(ТабПозиции[[#This Row],[orderNum]],ТабЗаказы[#Data],MATCH(E$7,ТабЗаказы[#Headers],0),0),"")</f>
        <v/>
      </c>
      <c r="F894" s="16" t="s">
        <v>1379</v>
      </c>
      <c r="G894" s="40" t="s">
        <v>545</v>
      </c>
      <c r="I894" s="18">
        <v>45554</v>
      </c>
      <c r="J894" s="10">
        <v>1</v>
      </c>
      <c r="K894" s="10">
        <v>907</v>
      </c>
      <c r="L894">
        <v>907</v>
      </c>
      <c r="M894" s="10">
        <v>1005</v>
      </c>
      <c r="N894">
        <f t="shared" si="15"/>
        <v>1005</v>
      </c>
      <c r="P8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Row],[orderNum]],ТабПозиции[orderSumm])&gt;1500),ABS(N894*VLOOKUP(ТабПозиции[[#This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894">
        <f>IF(OR(ТабПозиции[[#This Row],[item]]="По штрихкоду",ТабПозиции[[#This Row],[item]]="Посылка"),ТабПозиции[[#This Row],[deliverySumm]]+ТабПозиции[[#This Row],[deliveryPost]],SUM(N894:P894))</f>
        <v>1205</v>
      </c>
      <c r="R894" s="41">
        <v>1205</v>
      </c>
      <c r="S894" s="46">
        <f>ТабПозиции[[#This Row],[totalSumm]]-ТабПозиции[[#This Row],[payment]]</f>
        <v>0</v>
      </c>
      <c r="T894" s="18" t="s">
        <v>960</v>
      </c>
      <c r="U894" s="40" t="s">
        <v>545</v>
      </c>
      <c r="V894" s="40" t="s">
        <v>545</v>
      </c>
      <c r="W894" s="40" t="s">
        <v>545</v>
      </c>
      <c r="X894" s="3"/>
      <c r="Y894"/>
    </row>
    <row r="895" spans="1:25" hidden="1" x14ac:dyDescent="0.25">
      <c r="A895" s="10">
        <v>255</v>
      </c>
      <c r="B895" s="1">
        <f>IFERROR(VLOOKUP(ТабПозиции[[#This Row],[orderNum]],ТабЗаказы[#Data],MATCH(B$7,ТабЗаказы[#Headers],0),0),"")</f>
        <v>45551</v>
      </c>
      <c r="C895" t="str">
        <f>MONTH(ТабПозиции[[#This Row],[date]])&amp;"/"&amp;YEAR(ТабПозиции[[#This Row],[date]])</f>
        <v>9/2024</v>
      </c>
      <c r="D895" s="1" t="str">
        <f>IFERROR(VLOOKUP(ТабПозиции[[#This Row],[orderNum]],ТабЗаказы[#Data],MATCH(D$7,ТабЗаказы[#Headers],0),0),"")</f>
        <v/>
      </c>
      <c r="E895" s="1" t="str">
        <f>IFERROR(VLOOKUP(ТабПозиции[[#This Row],[orderNum]],ТабЗаказы[#Data],MATCH(E$7,ТабЗаказы[#Headers],0),0),"")</f>
        <v/>
      </c>
      <c r="F895" s="16" t="s">
        <v>1381</v>
      </c>
      <c r="G895" s="40" t="s">
        <v>545</v>
      </c>
      <c r="I895" s="18">
        <v>45552</v>
      </c>
      <c r="J895" s="10">
        <v>1</v>
      </c>
      <c r="K895" s="10">
        <v>7010</v>
      </c>
      <c r="L895">
        <v>7010</v>
      </c>
      <c r="M895" s="10">
        <v>7494</v>
      </c>
      <c r="N895">
        <f t="shared" si="15"/>
        <v>7494</v>
      </c>
      <c r="P8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Row],[orderNum]],ТабПозиции[orderSumm])&gt;1500),ABS(N895*VLOOKUP(ТабПозиции[[#This Row],[orderNum]],ТабЗаказы[#Data],MATCH("Percent",ТабЗаказы[#Headers],0),0))/100,200/COUNTIF(ТабПозиции[orderNum],ТабПозиции[[#This Row],[orderNum]])),0),"")</f>
        <v>1124</v>
      </c>
      <c r="Q895">
        <f>IF(OR(ТабПозиции[[#This Row],[item]]="По штрихкоду",ТабПозиции[[#This Row],[item]]="Посылка"),ТабПозиции[[#This Row],[deliverySumm]]+ТабПозиции[[#This Row],[deliveryPost]],SUM(N895:P895))</f>
        <v>8618</v>
      </c>
      <c r="R895" s="41">
        <v>8618</v>
      </c>
      <c r="S895" s="46">
        <f>ТабПозиции[[#This Row],[totalSumm]]-ТабПозиции[[#This Row],[payment]]</f>
        <v>0</v>
      </c>
      <c r="T895" s="18" t="s">
        <v>960</v>
      </c>
      <c r="U895" s="40" t="s">
        <v>545</v>
      </c>
      <c r="V895" s="40" t="s">
        <v>545</v>
      </c>
      <c r="W895" s="40" t="s">
        <v>545</v>
      </c>
      <c r="X895" s="3"/>
      <c r="Y895"/>
    </row>
    <row r="896" spans="1:25" hidden="1" x14ac:dyDescent="0.25">
      <c r="A896" s="10">
        <v>255</v>
      </c>
      <c r="B896" s="1">
        <f>IFERROR(VLOOKUP(ТабПозиции[[#This Row],[orderNum]],ТабЗаказы[#Data],MATCH(B$7,ТабЗаказы[#Headers],0),0),"")</f>
        <v>45551</v>
      </c>
      <c r="C896" t="str">
        <f>MONTH(ТабПозиции[[#This Row],[date]])&amp;"/"&amp;YEAR(ТабПозиции[[#This Row],[date]])</f>
        <v>9/2024</v>
      </c>
      <c r="D896" s="1" t="str">
        <f>IFERROR(VLOOKUP(ТабПозиции[[#This Row],[orderNum]],ТабЗаказы[#Data],MATCH(D$7,ТабЗаказы[#Headers],0),0),"")</f>
        <v/>
      </c>
      <c r="E896" s="1" t="str">
        <f>IFERROR(VLOOKUP(ТабПозиции[[#This Row],[orderNum]],ТабЗаказы[#Data],MATCH(E$7,ТабЗаказы[#Headers],0),0),"")</f>
        <v/>
      </c>
      <c r="F896" s="16" t="s">
        <v>1382</v>
      </c>
      <c r="G896" s="40" t="s">
        <v>545</v>
      </c>
      <c r="I896" s="18">
        <v>45553</v>
      </c>
      <c r="J896" s="10">
        <v>1</v>
      </c>
      <c r="K896" s="10">
        <v>637</v>
      </c>
      <c r="L896">
        <v>637</v>
      </c>
      <c r="M896" s="10">
        <v>686</v>
      </c>
      <c r="N896">
        <f t="shared" si="15"/>
        <v>686</v>
      </c>
      <c r="P8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Row],[orderNum]],ТабПозиции[orderSumm])&gt;1500),ABS(N896*VLOOKUP(ТабПозиции[[#This Row],[orderNum]],ТабЗаказы[#Data],MATCH("Percent",ТабЗаказы[#Headers],0),0))/100,200/COUNTIF(ТабПозиции[orderNum],ТабПозиции[[#This Row],[orderNum]])),0),"")</f>
        <v>103</v>
      </c>
      <c r="Q896">
        <f>IF(OR(ТабПозиции[[#This Row],[item]]="По штрихкоду",ТабПозиции[[#This Row],[item]]="Посылка"),ТабПозиции[[#This Row],[deliverySumm]]+ТабПозиции[[#This Row],[deliveryPost]],SUM(N896:P896))</f>
        <v>789</v>
      </c>
      <c r="R896" s="41">
        <v>789</v>
      </c>
      <c r="S896" s="46">
        <f>ТабПозиции[[#This Row],[totalSumm]]-ТабПозиции[[#This Row],[payment]]</f>
        <v>0</v>
      </c>
      <c r="T896" s="18" t="s">
        <v>970</v>
      </c>
      <c r="U896" s="40" t="s">
        <v>545</v>
      </c>
      <c r="V896" s="40" t="s">
        <v>545</v>
      </c>
      <c r="W896" s="40" t="s">
        <v>545</v>
      </c>
      <c r="X896" s="3"/>
      <c r="Y896"/>
    </row>
    <row r="897" spans="1:25" hidden="1" x14ac:dyDescent="0.25">
      <c r="A897" s="10">
        <v>255</v>
      </c>
      <c r="B897" s="1">
        <f>IFERROR(VLOOKUP(ТабПозиции[[#This Row],[orderNum]],ТабЗаказы[#Data],MATCH(B$7,ТабЗаказы[#Headers],0),0),"")</f>
        <v>45551</v>
      </c>
      <c r="C897" t="str">
        <f>MONTH(ТабПозиции[[#This Row],[date]])&amp;"/"&amp;YEAR(ТабПозиции[[#This Row],[date]])</f>
        <v>9/2024</v>
      </c>
      <c r="D897" s="1" t="str">
        <f>IFERROR(VLOOKUP(ТабПозиции[[#This Row],[orderNum]],ТабЗаказы[#Data],MATCH(D$7,ТабЗаказы[#Headers],0),0),"")</f>
        <v/>
      </c>
      <c r="E897" s="1" t="str">
        <f>IFERROR(VLOOKUP(ТабПозиции[[#This Row],[orderNum]],ТабЗаказы[#Data],MATCH(E$7,ТабЗаказы[#Headers],0),0),"")</f>
        <v/>
      </c>
      <c r="F897" s="16" t="s">
        <v>1383</v>
      </c>
      <c r="G897" s="40" t="s">
        <v>545</v>
      </c>
      <c r="I897" s="18">
        <v>45554</v>
      </c>
      <c r="J897" s="10">
        <v>1</v>
      </c>
      <c r="K897" s="10">
        <v>1182</v>
      </c>
      <c r="L897">
        <v>1182</v>
      </c>
      <c r="M897" s="10">
        <v>1273</v>
      </c>
      <c r="N897">
        <f t="shared" si="15"/>
        <v>1273</v>
      </c>
      <c r="P8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Row],[orderNum]],ТабПозиции[orderSumm])&gt;1500),ABS(N897*VLOOKUP(ТабПозиции[[#This Row],[orderNum]],ТабЗаказы[#Data],MATCH("Percent",ТабЗаказы[#Headers],0),0))/100,200/COUNTIF(ТабПозиции[orderNum],ТабПозиции[[#This Row],[orderNum]])),0),"")</f>
        <v>191</v>
      </c>
      <c r="Q897">
        <f>IF(OR(ТабПозиции[[#This Row],[item]]="По штрихкоду",ТабПозиции[[#This Row],[item]]="Посылка"),ТабПозиции[[#This Row],[deliverySumm]]+ТабПозиции[[#This Row],[deliveryPost]],SUM(N897:P897))</f>
        <v>1464</v>
      </c>
      <c r="R897" s="41">
        <v>1464</v>
      </c>
      <c r="S897" s="46">
        <f>ТабПозиции[[#This Row],[totalSumm]]-ТабПозиции[[#This Row],[payment]]</f>
        <v>0</v>
      </c>
      <c r="T897" s="18" t="s">
        <v>960</v>
      </c>
      <c r="U897" s="40" t="s">
        <v>545</v>
      </c>
      <c r="V897" s="40" t="s">
        <v>545</v>
      </c>
      <c r="W897" s="40" t="s">
        <v>545</v>
      </c>
      <c r="X897" s="3"/>
      <c r="Y897"/>
    </row>
    <row r="898" spans="1:25" hidden="1" x14ac:dyDescent="0.25">
      <c r="A898" s="10">
        <v>256</v>
      </c>
      <c r="B898" s="1">
        <f>IFERROR(VLOOKUP(ТабПозиции[[#This Row],[orderNum]],ТабЗаказы[#Data],MATCH(B$7,ТабЗаказы[#Headers],0),0),"")</f>
        <v>45552</v>
      </c>
      <c r="C898" t="str">
        <f>MONTH(ТабПозиции[[#This Row],[date]])&amp;"/"&amp;YEAR(ТабПозиции[[#This Row],[date]])</f>
        <v>9/2024</v>
      </c>
      <c r="D898" s="1" t="str">
        <f>IFERROR(VLOOKUP(ТабПозиции[[#This Row],[orderNum]],ТабЗаказы[#Data],MATCH(D$7,ТабЗаказы[#Headers],0),0),"")</f>
        <v/>
      </c>
      <c r="E898" s="1" t="str">
        <f>IFERROR(VLOOKUP(ТабПозиции[[#This Row],[orderNum]],ТабЗаказы[#Data],MATCH(E$7,ТабЗаказы[#Headers],0),0),"")</f>
        <v/>
      </c>
      <c r="F898" s="10" t="s">
        <v>820</v>
      </c>
      <c r="G898" s="40" t="s">
        <v>545</v>
      </c>
      <c r="H898" s="27" t="s">
        <v>1386</v>
      </c>
      <c r="I898" s="18">
        <v>45558</v>
      </c>
      <c r="J898" s="10">
        <v>1</v>
      </c>
      <c r="K898" s="10">
        <v>6500</v>
      </c>
      <c r="L898">
        <v>6500</v>
      </c>
      <c r="M898" s="10">
        <v>6500</v>
      </c>
      <c r="N898">
        <f t="shared" si="15"/>
        <v>6500</v>
      </c>
      <c r="P8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Row],[orderNum]],ТабПозиции[orderSumm])&gt;1500),ABS(N898*VLOOKUP(ТабПозиции[[#This Row],[orderNum]],ТабЗаказы[#Data],MATCH("Percent",ТабЗаказы[#Headers],0),0))/100,200/COUNTIF(ТабПозиции[orderNum],ТабПозиции[[#This Row],[orderNum]])),0),"")</f>
        <v>650</v>
      </c>
      <c r="Q898">
        <f>IF(OR(ТабПозиции[[#This Row],[item]]="По штрихкоду",ТабПозиции[[#This Row],[item]]="Посылка"),ТабПозиции[[#This Row],[deliverySumm]]+ТабПозиции[[#This Row],[deliveryPost]],SUM(N898:P898))</f>
        <v>650</v>
      </c>
      <c r="R898" s="41">
        <v>650</v>
      </c>
      <c r="S898" s="46">
        <f>ТабПозиции[[#This Row],[totalSumm]]-ТабПозиции[[#This Row],[payment]]</f>
        <v>0</v>
      </c>
      <c r="T898" s="18" t="s">
        <v>1021</v>
      </c>
      <c r="U898" s="40" t="s">
        <v>545</v>
      </c>
      <c r="V898" s="40" t="s">
        <v>545</v>
      </c>
      <c r="W898" s="40" t="s">
        <v>545</v>
      </c>
      <c r="X898" s="3"/>
      <c r="Y898"/>
    </row>
    <row r="899" spans="1:25" hidden="1" x14ac:dyDescent="0.25">
      <c r="A899" s="10">
        <v>256</v>
      </c>
      <c r="B899" s="1">
        <f>IFERROR(VLOOKUP(ТабПозиции[[#This Row],[orderNum]],ТабЗаказы[#Data],MATCH(B$7,ТабЗаказы[#Headers],0),0),"")</f>
        <v>45552</v>
      </c>
      <c r="C899" t="str">
        <f>MONTH(ТабПозиции[[#This Row],[date]])&amp;"/"&amp;YEAR(ТабПозиции[[#This Row],[date]])</f>
        <v>9/2024</v>
      </c>
      <c r="D899" s="1" t="str">
        <f>IFERROR(VLOOKUP(ТабПозиции[[#This Row],[orderNum]],ТабЗаказы[#Data],MATCH(D$7,ТабЗаказы[#Headers],0),0),"")</f>
        <v/>
      </c>
      <c r="E899" s="1" t="str">
        <f>IFERROR(VLOOKUP(ТабПозиции[[#This Row],[orderNum]],ТабЗаказы[#Data],MATCH(E$7,ТабЗаказы[#Headers],0),0),"")</f>
        <v/>
      </c>
      <c r="F899" s="10" t="s">
        <v>820</v>
      </c>
      <c r="G899" s="40" t="s">
        <v>545</v>
      </c>
      <c r="H899" s="29" t="s">
        <v>1387</v>
      </c>
      <c r="I899" s="18">
        <v>45560</v>
      </c>
      <c r="J899" s="10">
        <v>1</v>
      </c>
      <c r="K899" s="10">
        <v>6517</v>
      </c>
      <c r="L899">
        <v>6517</v>
      </c>
      <c r="M899" s="10">
        <v>6517</v>
      </c>
      <c r="N899">
        <f t="shared" si="15"/>
        <v>6517</v>
      </c>
      <c r="P8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Row],[orderNum]],ТабПозиции[orderSumm])&gt;1500),ABS(N899*VLOOKUP(ТабПозиции[[#This Row],[orderNum]],ТабЗаказы[#Data],MATCH("Percent",ТабЗаказы[#Headers],0),0))/100,200/COUNTIF(ТабПозиции[orderNum],ТабПозиции[[#This Row],[orderNum]])),0),"")</f>
        <v>652</v>
      </c>
      <c r="Q899">
        <f>IF(OR(ТабПозиции[[#This Row],[item]]="По штрихкоду",ТабПозиции[[#This Row],[item]]="Посылка"),ТабПозиции[[#This Row],[deliverySumm]]+ТабПозиции[[#This Row],[deliveryPost]],SUM(N899:P899))</f>
        <v>652</v>
      </c>
      <c r="R899" s="41">
        <v>652</v>
      </c>
      <c r="S899" s="46">
        <f>ТабПозиции[[#This Row],[totalSumm]]-ТабПозиции[[#This Row],[payment]]</f>
        <v>0</v>
      </c>
      <c r="T899" s="18" t="s">
        <v>1021</v>
      </c>
      <c r="U899" s="40" t="s">
        <v>545</v>
      </c>
      <c r="V899" s="40" t="s">
        <v>545</v>
      </c>
      <c r="W899" s="40" t="s">
        <v>545</v>
      </c>
      <c r="X899" s="3"/>
      <c r="Y899"/>
    </row>
    <row r="900" spans="1:25" hidden="1" x14ac:dyDescent="0.25">
      <c r="A900" s="10">
        <v>256</v>
      </c>
      <c r="B900" s="1">
        <f>IFERROR(VLOOKUP(ТабПозиции[[#This Row],[orderNum]],ТабЗаказы[#Data],MATCH(B$7,ТабЗаказы[#Headers],0),0),"")</f>
        <v>45552</v>
      </c>
      <c r="C900" t="str">
        <f>MONTH(ТабПозиции[[#This Row],[date]])&amp;"/"&amp;YEAR(ТабПозиции[[#This Row],[date]])</f>
        <v>9/2024</v>
      </c>
      <c r="D900" s="1" t="str">
        <f>IFERROR(VLOOKUP(ТабПозиции[[#This Row],[orderNum]],ТабЗаказы[#Data],MATCH(D$7,ТабЗаказы[#Headers],0),0),"")</f>
        <v/>
      </c>
      <c r="E900" s="1" t="str">
        <f>IFERROR(VLOOKUP(ТабПозиции[[#This Row],[orderNum]],ТабЗаказы[#Data],MATCH(E$7,ТабЗаказы[#Headers],0),0),"")</f>
        <v/>
      </c>
      <c r="F900" s="10" t="s">
        <v>820</v>
      </c>
      <c r="G900" s="40" t="s">
        <v>545</v>
      </c>
      <c r="H900" s="28" t="s">
        <v>1388</v>
      </c>
      <c r="I900" s="18">
        <v>45558</v>
      </c>
      <c r="J900" s="10">
        <v>1</v>
      </c>
      <c r="K900" s="10">
        <v>8000</v>
      </c>
      <c r="L900">
        <v>8000</v>
      </c>
      <c r="M900" s="10">
        <v>8000</v>
      </c>
      <c r="N900">
        <f t="shared" si="15"/>
        <v>8000</v>
      </c>
      <c r="P9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Row],[orderNum]],ТабПозиции[orderSumm])&gt;1500),ABS(N900*VLOOKUP(ТабПозиции[[#This Row],[orderNum]],ТабЗаказы[#Data],MATCH("Percent",ТабЗаказы[#Headers],0),0))/100,200/COUNTIF(ТабПозиции[orderNum],ТабПозиции[[#This Row],[orderNum]])),0),"")</f>
        <v>800</v>
      </c>
      <c r="Q900">
        <f>IF(OR(ТабПозиции[[#This Row],[item]]="По штрихкоду",ТабПозиции[[#This Row],[item]]="Посылка"),ТабПозиции[[#This Row],[deliverySumm]]+ТабПозиции[[#This Row],[deliveryPost]],SUM(N900:P900))</f>
        <v>800</v>
      </c>
      <c r="R900" s="41">
        <v>800</v>
      </c>
      <c r="S900" s="46">
        <f>ТабПозиции[[#This Row],[totalSumm]]-ТабПозиции[[#This Row],[payment]]</f>
        <v>0</v>
      </c>
      <c r="T900" s="18" t="s">
        <v>1021</v>
      </c>
      <c r="U900" s="40" t="s">
        <v>545</v>
      </c>
      <c r="V900" s="40" t="s">
        <v>545</v>
      </c>
      <c r="W900" s="40" t="s">
        <v>545</v>
      </c>
      <c r="X900" s="3"/>
      <c r="Y900"/>
    </row>
    <row r="901" spans="1:25" hidden="1" x14ac:dyDescent="0.25">
      <c r="A901" s="10">
        <v>256</v>
      </c>
      <c r="B901" s="1">
        <f>IFERROR(VLOOKUP(ТабПозиции[[#This Row],[orderNum]],ТабЗаказы[#Data],MATCH(B$7,ТабЗаказы[#Headers],0),0),"")</f>
        <v>45552</v>
      </c>
      <c r="C901" t="str">
        <f>MONTH(ТабПозиции[[#This Row],[date]])&amp;"/"&amp;YEAR(ТабПозиции[[#This Row],[date]])</f>
        <v>9/2024</v>
      </c>
      <c r="D901" s="1" t="str">
        <f>IFERROR(VLOOKUP(ТабПозиции[[#This Row],[orderNum]],ТабЗаказы[#Data],MATCH(D$7,ТабЗаказы[#Headers],0),0),"")</f>
        <v/>
      </c>
      <c r="E901" s="1" t="str">
        <f>IFERROR(VLOOKUP(ТабПозиции[[#This Row],[orderNum]],ТабЗаказы[#Data],MATCH(E$7,ТабЗаказы[#Headers],0),0),"")</f>
        <v/>
      </c>
      <c r="F901" s="10" t="s">
        <v>820</v>
      </c>
      <c r="G901" s="40" t="s">
        <v>545</v>
      </c>
      <c r="H901" s="27" t="s">
        <v>1389</v>
      </c>
      <c r="I901" s="18">
        <v>45554</v>
      </c>
      <c r="J901" s="10">
        <v>1</v>
      </c>
      <c r="K901" s="10">
        <v>5150</v>
      </c>
      <c r="L901">
        <v>5150</v>
      </c>
      <c r="M901" s="10">
        <v>5150</v>
      </c>
      <c r="N901">
        <f t="shared" si="15"/>
        <v>5150</v>
      </c>
      <c r="P9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Row],[orderNum]],ТабПозиции[orderSumm])&gt;1500),ABS(N901*VLOOKUP(ТабПозиции[[#This Row],[orderNum]],ТабЗаказы[#Data],MATCH("Percent",ТабЗаказы[#Headers],0),0))/100,200/COUNTIF(ТабПозиции[orderNum],ТабПозиции[[#This Row],[orderNum]])),0),"")</f>
        <v>515</v>
      </c>
      <c r="Q901">
        <f>IF(OR(ТабПозиции[[#This Row],[item]]="По штрихкоду",ТабПозиции[[#This Row],[item]]="Посылка"),ТабПозиции[[#This Row],[deliverySumm]]+ТабПозиции[[#This Row],[deliveryPost]],SUM(N901:P901))</f>
        <v>515</v>
      </c>
      <c r="R901" s="41">
        <v>515</v>
      </c>
      <c r="S901" s="46">
        <f>ТабПозиции[[#This Row],[totalSumm]]-ТабПозиции[[#This Row],[payment]]</f>
        <v>0</v>
      </c>
      <c r="T901" s="18" t="s">
        <v>1021</v>
      </c>
      <c r="U901" s="40" t="s">
        <v>545</v>
      </c>
      <c r="V901" s="40" t="s">
        <v>545</v>
      </c>
      <c r="W901" s="40" t="s">
        <v>545</v>
      </c>
      <c r="X901" s="3"/>
      <c r="Y901"/>
    </row>
    <row r="902" spans="1:25" hidden="1" x14ac:dyDescent="0.25">
      <c r="A902" s="10">
        <v>256</v>
      </c>
      <c r="B902" s="1">
        <f>IFERROR(VLOOKUP(ТабПозиции[[#This Row],[orderNum]],ТабЗаказы[#Data],MATCH(B$7,ТабЗаказы[#Headers],0),0),"")</f>
        <v>45552</v>
      </c>
      <c r="C902" t="str">
        <f>MONTH(ТабПозиции[[#This Row],[date]])&amp;"/"&amp;YEAR(ТабПозиции[[#This Row],[date]])</f>
        <v>9/2024</v>
      </c>
      <c r="D902" s="1" t="str">
        <f>IFERROR(VLOOKUP(ТабПозиции[[#This Row],[orderNum]],ТабЗаказы[#Data],MATCH(D$7,ТабЗаказы[#Headers],0),0),"")</f>
        <v/>
      </c>
      <c r="E902" s="1" t="str">
        <f>IFERROR(VLOOKUP(ТабПозиции[[#This Row],[orderNum]],ТабЗаказы[#Data],MATCH(E$7,ТабЗаказы[#Headers],0),0),"")</f>
        <v/>
      </c>
      <c r="F902" s="10" t="s">
        <v>820</v>
      </c>
      <c r="G902" s="40" t="s">
        <v>545</v>
      </c>
      <c r="H902" s="27" t="s">
        <v>1390</v>
      </c>
      <c r="I902" s="18">
        <v>45559</v>
      </c>
      <c r="J902" s="10">
        <v>1</v>
      </c>
      <c r="K902" s="10">
        <v>500</v>
      </c>
      <c r="L902">
        <v>500</v>
      </c>
      <c r="M902" s="10">
        <v>500</v>
      </c>
      <c r="N902">
        <f t="shared" si="15"/>
        <v>500</v>
      </c>
      <c r="P9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Row],[orderNum]],ТабПозиции[orderSumm])&gt;1500),ABS(N902*VLOOKUP(ТабПозиции[[#This Row],[orderNum]],ТабЗаказы[#Data],MATCH("Percent",ТабЗаказы[#Headers],0),0))/100,200/COUNTIF(ТабПозиции[orderNum],ТабПозиции[[#This Row],[orderNum]])),0),"")</f>
        <v>50</v>
      </c>
      <c r="Q902">
        <f>IF(OR(ТабПозиции[[#This Row],[item]]="По штрихкоду",ТабПозиции[[#This Row],[item]]="Посылка"),ТабПозиции[[#This Row],[deliverySumm]]+ТабПозиции[[#This Row],[deliveryPost]],SUM(N902:P902))</f>
        <v>50</v>
      </c>
      <c r="R902" s="41">
        <v>50</v>
      </c>
      <c r="S902" s="46">
        <f>ТабПозиции[[#This Row],[totalSumm]]-ТабПозиции[[#This Row],[payment]]</f>
        <v>0</v>
      </c>
      <c r="T902" s="18" t="s">
        <v>1021</v>
      </c>
      <c r="U902" s="40" t="s">
        <v>545</v>
      </c>
      <c r="V902" s="40" t="s">
        <v>545</v>
      </c>
      <c r="W902" s="40" t="s">
        <v>545</v>
      </c>
      <c r="X902" s="3"/>
      <c r="Y902"/>
    </row>
    <row r="903" spans="1:25" hidden="1" x14ac:dyDescent="0.25">
      <c r="A903" s="10">
        <v>256</v>
      </c>
      <c r="B903" s="1">
        <f>IFERROR(VLOOKUP(ТабПозиции[[#This Row],[orderNum]],ТабЗаказы[#Data],MATCH(B$7,ТабЗаказы[#Headers],0),0),"")</f>
        <v>45552</v>
      </c>
      <c r="C903" t="str">
        <f>MONTH(ТабПозиции[[#This Row],[date]])&amp;"/"&amp;YEAR(ТабПозиции[[#This Row],[date]])</f>
        <v>9/2024</v>
      </c>
      <c r="D903" s="1" t="str">
        <f>IFERROR(VLOOKUP(ТабПозиции[[#This Row],[orderNum]],ТабЗаказы[#Data],MATCH(D$7,ТабЗаказы[#Headers],0),0),"")</f>
        <v/>
      </c>
      <c r="E903" s="1" t="str">
        <f>IFERROR(VLOOKUP(ТабПозиции[[#This Row],[orderNum]],ТабЗаказы[#Data],MATCH(E$7,ТабЗаказы[#Headers],0),0),"")</f>
        <v/>
      </c>
      <c r="F903" s="10" t="s">
        <v>820</v>
      </c>
      <c r="G903" s="40" t="s">
        <v>545</v>
      </c>
      <c r="H903" s="27" t="s">
        <v>1391</v>
      </c>
      <c r="I903" s="18">
        <v>45559</v>
      </c>
      <c r="J903" s="10">
        <v>1</v>
      </c>
      <c r="K903" s="10">
        <v>1500</v>
      </c>
      <c r="L903">
        <v>1500</v>
      </c>
      <c r="M903" s="10">
        <v>1500</v>
      </c>
      <c r="N903">
        <f t="shared" si="15"/>
        <v>1500</v>
      </c>
      <c r="P9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Row],[orderNum]],ТабПозиции[orderSumm])&gt;1500),ABS(N903*VLOOKUP(ТабПозиции[[#This Row],[orderNum]],ТабЗаказы[#Data],MATCH("Percent",ТабЗаказы[#Headers],0),0))/100,200/COUNTIF(ТабПозиции[orderNum],ТабПозиции[[#This Row],[orderNum]])),0),"")</f>
        <v>150</v>
      </c>
      <c r="Q903">
        <f>IF(OR(ТабПозиции[[#This Row],[item]]="По штрихкоду",ТабПозиции[[#This Row],[item]]="Посылка"),ТабПозиции[[#This Row],[deliverySumm]]+ТабПозиции[[#This Row],[deliveryPost]],SUM(N903:P903))</f>
        <v>150</v>
      </c>
      <c r="R903" s="41">
        <v>150</v>
      </c>
      <c r="S903" s="46">
        <f>ТабПозиции[[#This Row],[totalSumm]]-ТабПозиции[[#This Row],[payment]]</f>
        <v>0</v>
      </c>
      <c r="T903" s="18" t="s">
        <v>1021</v>
      </c>
      <c r="U903" s="40" t="s">
        <v>545</v>
      </c>
      <c r="V903" s="40" t="s">
        <v>545</v>
      </c>
      <c r="W903" s="40" t="s">
        <v>545</v>
      </c>
      <c r="X903" s="3"/>
      <c r="Y903"/>
    </row>
    <row r="904" spans="1:25" hidden="1" x14ac:dyDescent="0.25">
      <c r="A904" s="10">
        <v>256</v>
      </c>
      <c r="B904" s="1">
        <f>IFERROR(VLOOKUP(ТабПозиции[[#This Row],[orderNum]],ТабЗаказы[#Data],MATCH(B$7,ТабЗаказы[#Headers],0),0),"")</f>
        <v>45552</v>
      </c>
      <c r="C904" t="str">
        <f>MONTH(ТабПозиции[[#This Row],[date]])&amp;"/"&amp;YEAR(ТабПозиции[[#This Row],[date]])</f>
        <v>9/2024</v>
      </c>
      <c r="D904" s="1" t="str">
        <f>IFERROR(VLOOKUP(ТабПозиции[[#This Row],[orderNum]],ТабЗаказы[#Data],MATCH(D$7,ТабЗаказы[#Headers],0),0),"")</f>
        <v/>
      </c>
      <c r="E904" s="1" t="str">
        <f>IFERROR(VLOOKUP(ТабПозиции[[#This Row],[orderNum]],ТабЗаказы[#Data],MATCH(E$7,ТабЗаказы[#Headers],0),0),"")</f>
        <v/>
      </c>
      <c r="F904" s="10" t="s">
        <v>820</v>
      </c>
      <c r="G904" s="40" t="s">
        <v>545</v>
      </c>
      <c r="H904" s="27" t="s">
        <v>1392</v>
      </c>
      <c r="I904" s="18">
        <v>45556</v>
      </c>
      <c r="J904" s="10">
        <v>1</v>
      </c>
      <c r="K904" s="10">
        <v>2660</v>
      </c>
      <c r="L904">
        <v>2660</v>
      </c>
      <c r="M904" s="10">
        <v>2660</v>
      </c>
      <c r="N904">
        <f t="shared" si="15"/>
        <v>2660</v>
      </c>
      <c r="P9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Row],[orderNum]],ТабПозиции[orderSumm])&gt;1500),ABS(N904*VLOOKUP(ТабПозиции[[#This Row],[orderNum]],ТабЗаказы[#Data],MATCH("Percent",ТабЗаказы[#Headers],0),0))/100,200/COUNTIF(ТабПозиции[orderNum],ТабПозиции[[#This Row],[orderNum]])),0),"")</f>
        <v>266</v>
      </c>
      <c r="Q904">
        <f>IF(OR(ТабПозиции[[#This Row],[item]]="По штрихкоду",ТабПозиции[[#This Row],[item]]="Посылка"),ТабПозиции[[#This Row],[deliverySumm]]+ТабПозиции[[#This Row],[deliveryPost]],SUM(N904:P904))</f>
        <v>266</v>
      </c>
      <c r="R904" s="41">
        <v>266</v>
      </c>
      <c r="S904" s="46">
        <f>ТабПозиции[[#This Row],[totalSumm]]-ТабПозиции[[#This Row],[payment]]</f>
        <v>0</v>
      </c>
      <c r="T904" s="18" t="s">
        <v>1021</v>
      </c>
      <c r="U904" s="40" t="s">
        <v>545</v>
      </c>
      <c r="V904" s="40" t="s">
        <v>545</v>
      </c>
      <c r="W904" s="40" t="s">
        <v>545</v>
      </c>
      <c r="X904" s="3"/>
      <c r="Y904"/>
    </row>
    <row r="905" spans="1:25" hidden="1" x14ac:dyDescent="0.25">
      <c r="A905" s="10">
        <v>256</v>
      </c>
      <c r="B905" s="1">
        <f>IFERROR(VLOOKUP(ТабПозиции[[#This Row],[orderNum]],ТабЗаказы[#Data],MATCH(B$7,ТабЗаказы[#Headers],0),0),"")</f>
        <v>45552</v>
      </c>
      <c r="C905" t="str">
        <f>MONTH(ТабПозиции[[#This Row],[date]])&amp;"/"&amp;YEAR(ТабПозиции[[#This Row],[date]])</f>
        <v>9/2024</v>
      </c>
      <c r="D905" s="1" t="str">
        <f>IFERROR(VLOOKUP(ТабПозиции[[#This Row],[orderNum]],ТабЗаказы[#Data],MATCH(D$7,ТабЗаказы[#Headers],0),0),"")</f>
        <v/>
      </c>
      <c r="E905" s="1" t="str">
        <f>IFERROR(VLOOKUP(ТабПозиции[[#This Row],[orderNum]],ТабЗаказы[#Data],MATCH(E$7,ТабЗаказы[#Headers],0),0),"")</f>
        <v/>
      </c>
      <c r="F905" s="10" t="s">
        <v>820</v>
      </c>
      <c r="G905" s="40" t="s">
        <v>545</v>
      </c>
      <c r="H905" s="30" t="s">
        <v>1393</v>
      </c>
      <c r="I905" s="18">
        <v>45559</v>
      </c>
      <c r="J905" s="10">
        <v>1</v>
      </c>
      <c r="K905" s="10">
        <v>1500</v>
      </c>
      <c r="L905">
        <v>1500</v>
      </c>
      <c r="M905" s="10">
        <v>1500</v>
      </c>
      <c r="N905">
        <f t="shared" si="15"/>
        <v>1500</v>
      </c>
      <c r="P9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Row],[orderNum]],ТабПозиции[orderSumm])&gt;1500),ABS(N905*VLOOKUP(ТабПозиции[[#This Row],[orderNum]],ТабЗаказы[#Data],MATCH("Percent",ТабЗаказы[#Headers],0),0))/100,200/COUNTIF(ТабПозиции[orderNum],ТабПозиции[[#This Row],[orderNum]])),0),"")</f>
        <v>150</v>
      </c>
      <c r="Q905">
        <f>IF(OR(ТабПозиции[[#This Row],[item]]="По штрихкоду",ТабПозиции[[#This Row],[item]]="Посылка"),ТабПозиции[[#This Row],[deliverySumm]]+ТабПозиции[[#This Row],[deliveryPost]],SUM(N905:P905))</f>
        <v>150</v>
      </c>
      <c r="R905" s="41">
        <v>150</v>
      </c>
      <c r="S905" s="46">
        <f>ТабПозиции[[#This Row],[totalSumm]]-ТабПозиции[[#This Row],[payment]]</f>
        <v>0</v>
      </c>
      <c r="T905" s="18" t="s">
        <v>1021</v>
      </c>
      <c r="U905" s="40" t="s">
        <v>545</v>
      </c>
      <c r="V905" s="40" t="s">
        <v>545</v>
      </c>
      <c r="W905" s="40" t="s">
        <v>545</v>
      </c>
      <c r="X905" s="3"/>
      <c r="Y905"/>
    </row>
    <row r="906" spans="1:25" hidden="1" x14ac:dyDescent="0.25">
      <c r="A906" s="10">
        <v>256</v>
      </c>
      <c r="B906" s="1">
        <f>IFERROR(VLOOKUP(ТабПозиции[[#This Row],[orderNum]],ТабЗаказы[#Data],MATCH(B$7,ТабЗаказы[#Headers],0),0),"")</f>
        <v>45552</v>
      </c>
      <c r="C906" t="str">
        <f>MONTH(ТабПозиции[[#This Row],[date]])&amp;"/"&amp;YEAR(ТабПозиции[[#This Row],[date]])</f>
        <v>9/2024</v>
      </c>
      <c r="D906" s="1" t="str">
        <f>IFERROR(VLOOKUP(ТабПозиции[[#This Row],[orderNum]],ТабЗаказы[#Data],MATCH(D$7,ТабЗаказы[#Headers],0),0),"")</f>
        <v/>
      </c>
      <c r="E906" s="1" t="str">
        <f>IFERROR(VLOOKUP(ТабПозиции[[#This Row],[orderNum]],ТабЗаказы[#Data],MATCH(E$7,ТабЗаказы[#Headers],0),0),"")</f>
        <v/>
      </c>
      <c r="F906" s="10" t="s">
        <v>820</v>
      </c>
      <c r="G906" s="40" t="s">
        <v>545</v>
      </c>
      <c r="H906" s="29" t="s">
        <v>1394</v>
      </c>
      <c r="I906" s="18">
        <v>45560</v>
      </c>
      <c r="J906" s="10">
        <v>1</v>
      </c>
      <c r="K906" s="10">
        <v>0</v>
      </c>
      <c r="L906">
        <v>0</v>
      </c>
      <c r="M906" s="10">
        <v>0</v>
      </c>
      <c r="N906">
        <f t="shared" si="15"/>
        <v>0</v>
      </c>
      <c r="P9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Row],[orderNum]],ТабПозиции[orderSumm])&gt;1500),ABS(N906*VLOOKUP(ТабПозиции[[#This Row],[orderNum]],ТабЗаказы[#Data],MATCH("Percent",ТабЗаказы[#Headers],0),0))/100,200/COUNTIF(ТабПозиции[orderNum],ТабПозиции[[#This Row],[orderNum]])),0),"")</f>
        <v>0</v>
      </c>
      <c r="Q906">
        <f>IF(OR(ТабПозиции[[#This Row],[item]]="По штрихкоду",ТабПозиции[[#This Row],[item]]="Посылка"),ТабПозиции[[#This Row],[deliverySumm]]+ТабПозиции[[#This Row],[deliveryPost]],SUM(N906:P906))</f>
        <v>0</v>
      </c>
      <c r="R906" s="41">
        <v>0</v>
      </c>
      <c r="S906" s="46">
        <f>ТабПозиции[[#This Row],[totalSumm]]-ТабПозиции[[#This Row],[payment]]</f>
        <v>0</v>
      </c>
      <c r="T906" s="18" t="s">
        <v>1021</v>
      </c>
      <c r="U906" s="40" t="s">
        <v>545</v>
      </c>
      <c r="V906" s="40" t="s">
        <v>545</v>
      </c>
      <c r="W906" s="40" t="s">
        <v>545</v>
      </c>
      <c r="X906" s="3"/>
      <c r="Y906"/>
    </row>
    <row r="907" spans="1:25" hidden="1" x14ac:dyDescent="0.25">
      <c r="A907" s="10">
        <v>256</v>
      </c>
      <c r="B907" s="1">
        <f>IFERROR(VLOOKUP(ТабПозиции[[#This Row],[orderNum]],ТабЗаказы[#Data],MATCH(B$7,ТабЗаказы[#Headers],0),0),"")</f>
        <v>45552</v>
      </c>
      <c r="C907" t="str">
        <f>MONTH(ТабПозиции[[#This Row],[date]])&amp;"/"&amp;YEAR(ТабПозиции[[#This Row],[date]])</f>
        <v>9/2024</v>
      </c>
      <c r="D907" s="1" t="str">
        <f>IFERROR(VLOOKUP(ТабПозиции[[#This Row],[orderNum]],ТабЗаказы[#Data],MATCH(D$7,ТабЗаказы[#Headers],0),0),"")</f>
        <v/>
      </c>
      <c r="E907" s="1" t="str">
        <f>IFERROR(VLOOKUP(ТабПозиции[[#This Row],[orderNum]],ТабЗаказы[#Data],MATCH(E$7,ТабЗаказы[#Headers],0),0),"")</f>
        <v/>
      </c>
      <c r="F907" s="10" t="s">
        <v>820</v>
      </c>
      <c r="G907" s="40" t="s">
        <v>545</v>
      </c>
      <c r="H907" s="30" t="s">
        <v>1395</v>
      </c>
      <c r="I907" s="18">
        <v>45556</v>
      </c>
      <c r="J907" s="10">
        <v>1</v>
      </c>
      <c r="K907" s="10">
        <v>5500</v>
      </c>
      <c r="L907">
        <v>5500</v>
      </c>
      <c r="M907" s="10">
        <v>5500</v>
      </c>
      <c r="N907">
        <f t="shared" si="15"/>
        <v>5500</v>
      </c>
      <c r="O907" s="10">
        <v>350</v>
      </c>
      <c r="P9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Row],[orderNum]],ТабПозиции[orderSumm])&gt;1500),ABS(N907*VLOOKUP(ТабПозиции[[#This Row],[orderNum]],ТабЗаказы[#Data],MATCH("Percent",ТабЗаказы[#Headers],0),0))/100,200/COUNTIF(ТабПозиции[orderNum],ТабПозиции[[#This Row],[orderNum]])),0),"")</f>
        <v>550</v>
      </c>
      <c r="Q907">
        <f>IF(OR(ТабПозиции[[#This Row],[item]]="По штрихкоду",ТабПозиции[[#This Row],[item]]="Посылка"),ТабПозиции[[#This Row],[deliverySumm]]+ТабПозиции[[#This Row],[deliveryPost]],SUM(N907:P907))</f>
        <v>900</v>
      </c>
      <c r="R907" s="41">
        <v>900</v>
      </c>
      <c r="S907" s="46">
        <f>ТабПозиции[[#This Row],[totalSumm]]-ТабПозиции[[#This Row],[payment]]</f>
        <v>0</v>
      </c>
      <c r="T907" s="18" t="s">
        <v>1021</v>
      </c>
      <c r="U907" s="40" t="s">
        <v>545</v>
      </c>
      <c r="V907" s="40" t="s">
        <v>545</v>
      </c>
      <c r="W907" s="40" t="s">
        <v>545</v>
      </c>
      <c r="X907" s="3"/>
      <c r="Y907"/>
    </row>
    <row r="908" spans="1:25" hidden="1" x14ac:dyDescent="0.25">
      <c r="A908" s="10">
        <v>257</v>
      </c>
      <c r="B908" s="1">
        <f>IFERROR(VLOOKUP(ТабПозиции[[#This Row],[orderNum]],ТабЗаказы[#Data],MATCH(B$7,ТабЗаказы[#Headers],0),0),"")</f>
        <v>45552</v>
      </c>
      <c r="C908" t="str">
        <f>MONTH(ТабПозиции[[#This Row],[date]])&amp;"/"&amp;YEAR(ТабПозиции[[#This Row],[date]])</f>
        <v>9/2024</v>
      </c>
      <c r="D908" s="1" t="str">
        <f>IFERROR(VLOOKUP(ТабПозиции[[#This Row],[orderNum]],ТабЗаказы[#Data],MATCH(D$7,ТабЗаказы[#Headers],0),0),"")</f>
        <v/>
      </c>
      <c r="E908" s="1" t="str">
        <f>IFERROR(VLOOKUP(ТабПозиции[[#This Row],[orderNum]],ТабЗаказы[#Data],MATCH(E$7,ТабЗаказы[#Headers],0),0),"")</f>
        <v/>
      </c>
      <c r="F908" s="10" t="s">
        <v>820</v>
      </c>
      <c r="G908" s="40" t="s">
        <v>545</v>
      </c>
      <c r="H908" s="12" t="s">
        <v>1396</v>
      </c>
      <c r="I908" s="18">
        <v>45556</v>
      </c>
      <c r="J908" s="10">
        <v>1</v>
      </c>
      <c r="K908" s="10">
        <v>13952</v>
      </c>
      <c r="L908">
        <v>13952</v>
      </c>
      <c r="M908" s="10">
        <v>13952</v>
      </c>
      <c r="N908">
        <f t="shared" si="15"/>
        <v>13952</v>
      </c>
      <c r="O908" s="10">
        <f>14709.52-13952</f>
        <v>757.52000000000044</v>
      </c>
      <c r="P9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Row],[orderNum]],ТабПозиции[orderSumm])&gt;1500),ABS(N908*VLOOKUP(ТабПозиции[[#This Row],[orderNum]],ТабЗаказы[#Data],MATCH("Percent",ТабЗаказы[#Headers],0),0))/100,200/COUNTIF(ТабПозиции[orderNum],ТабПозиции[[#This Row],[orderNum]])),0),"")</f>
        <v>1395</v>
      </c>
      <c r="Q908">
        <f>IF(OR(ТабПозиции[[#This Row],[item]]="По штрихкоду",ТабПозиции[[#This Row],[item]]="Посылка"),ТабПозиции[[#This Row],[deliverySumm]]+ТабПозиции[[#This Row],[deliveryPost]],SUM(N908:P908))</f>
        <v>2152.5200000000004</v>
      </c>
      <c r="R908" s="41">
        <v>2152.5200000000004</v>
      </c>
      <c r="S908" s="46">
        <f>ТабПозиции[[#This Row],[totalSumm]]-ТабПозиции[[#This Row],[payment]]</f>
        <v>0</v>
      </c>
      <c r="T908" s="18" t="s">
        <v>1016</v>
      </c>
      <c r="U908" s="40" t="s">
        <v>545</v>
      </c>
      <c r="V908" s="40" t="s">
        <v>545</v>
      </c>
      <c r="W908" s="40" t="s">
        <v>545</v>
      </c>
      <c r="X908" s="3"/>
      <c r="Y908"/>
    </row>
    <row r="909" spans="1:25" hidden="1" x14ac:dyDescent="0.25">
      <c r="A909" s="10">
        <v>247</v>
      </c>
      <c r="B909" s="1">
        <f>IFERROR(VLOOKUP(ТабПозиции[[#This Row],[orderNum]],ТабЗаказы[#Data],MATCH(B$7,ТабЗаказы[#Headers],0),0),"")</f>
        <v>45546</v>
      </c>
      <c r="C909" t="str">
        <f>MONTH(ТабПозиции[[#This Row],[date]])&amp;"/"&amp;YEAR(ТабПозиции[[#This Row],[date]])</f>
        <v>9/2024</v>
      </c>
      <c r="D909" s="1" t="str">
        <f>IFERROR(VLOOKUP(ТабПозиции[[#This Row],[orderNum]],ТабЗаказы[#Data],MATCH(D$7,ТабЗаказы[#Headers],0),0),"")</f>
        <v/>
      </c>
      <c r="E909" s="1" t="str">
        <f>IFERROR(VLOOKUP(ТабПозиции[[#This Row],[orderNum]],ТабЗаказы[#Data],MATCH(E$7,ТабЗаказы[#Headers],0),0),"")</f>
        <v/>
      </c>
      <c r="F909" s="16" t="s">
        <v>1398</v>
      </c>
      <c r="G909" s="40" t="s">
        <v>545</v>
      </c>
      <c r="I909" s="18">
        <v>45565</v>
      </c>
      <c r="J909" s="10">
        <v>1</v>
      </c>
      <c r="K909" s="10">
        <v>531</v>
      </c>
      <c r="L909">
        <v>531</v>
      </c>
      <c r="M909" s="10">
        <v>531</v>
      </c>
      <c r="N909">
        <f t="shared" si="15"/>
        <v>531</v>
      </c>
      <c r="O909" s="10">
        <v>258</v>
      </c>
      <c r="P9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Row],[orderNum]],ТабПозиции[orderSumm])&gt;1500),ABS(N909*VLOOKUP(ТабПозиции[[#This Row],[orderNum]],ТабЗаказы[#Data],MATCH("Percent",ТабЗаказы[#Headers],0),0))/100,200/COUNTIF(ТабПозиции[orderNum],ТабПозиции[[#This Row],[orderNum]])),0),"")</f>
        <v>80</v>
      </c>
      <c r="Q909">
        <f>IF(OR(ТабПозиции[[#This Row],[item]]="По штрихкоду",ТабПозиции[[#This Row],[item]]="Посылка"),ТабПозиции[[#This Row],[deliverySumm]]+ТабПозиции[[#This Row],[deliveryPost]],SUM(N909:P909))</f>
        <v>869</v>
      </c>
      <c r="R909" s="41">
        <v>869</v>
      </c>
      <c r="S909" s="46">
        <f>ТабПозиции[[#This Row],[totalSumm]]-ТабПозиции[[#This Row],[payment]]</f>
        <v>0</v>
      </c>
      <c r="T909" s="18" t="s">
        <v>1016</v>
      </c>
      <c r="U909" s="40" t="s">
        <v>545</v>
      </c>
      <c r="V909" s="40" t="s">
        <v>545</v>
      </c>
      <c r="W909" s="40" t="s">
        <v>545</v>
      </c>
      <c r="X909" s="3"/>
      <c r="Y909"/>
    </row>
    <row r="910" spans="1:25" hidden="1" x14ac:dyDescent="0.25">
      <c r="A910" s="10">
        <v>247</v>
      </c>
      <c r="B910" s="1">
        <f>IFERROR(VLOOKUP(ТабПозиции[[#This Row],[orderNum]],ТабЗаказы[#Data],MATCH(B$7,ТабЗаказы[#Headers],0),0),"")</f>
        <v>45546</v>
      </c>
      <c r="C910" t="str">
        <f>MONTH(ТабПозиции[[#This Row],[date]])&amp;"/"&amp;YEAR(ТабПозиции[[#This Row],[date]])</f>
        <v>9/2024</v>
      </c>
      <c r="D910" s="1" t="str">
        <f>IFERROR(VLOOKUP(ТабПозиции[[#This Row],[orderNum]],ТабЗаказы[#Data],MATCH(D$7,ТабЗаказы[#Headers],0),0),"")</f>
        <v/>
      </c>
      <c r="E910" s="1" t="str">
        <f>IFERROR(VLOOKUP(ТабПозиции[[#This Row],[orderNum]],ТабЗаказы[#Data],MATCH(E$7,ТабЗаказы[#Headers],0),0),"")</f>
        <v/>
      </c>
      <c r="F910" s="16" t="s">
        <v>1399</v>
      </c>
      <c r="G910" s="40" t="s">
        <v>545</v>
      </c>
      <c r="I910" s="18">
        <v>45566</v>
      </c>
      <c r="J910" s="10">
        <v>1</v>
      </c>
      <c r="K910" s="10">
        <v>379</v>
      </c>
      <c r="L910">
        <v>379</v>
      </c>
      <c r="M910" s="10">
        <v>379</v>
      </c>
      <c r="N910">
        <f t="shared" si="15"/>
        <v>379</v>
      </c>
      <c r="P9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Row],[orderNum]],ТабПозиции[orderSumm])&gt;1500),ABS(N910*VLOOKUP(ТабПозиции[[#This Row],[orderNum]],ТабЗаказы[#Data],MATCH("Percent",ТабЗаказы[#Headers],0),0))/100,200/COUNTIF(ТабПозиции[orderNum],ТабПозиции[[#This Row],[orderNum]])),0),"")</f>
        <v>57</v>
      </c>
      <c r="Q910">
        <f>IF(OR(ТабПозиции[[#This Row],[item]]="По штрихкоду",ТабПозиции[[#This Row],[item]]="Посылка"),ТабПозиции[[#This Row],[deliverySumm]]+ТабПозиции[[#This Row],[deliveryPost]],SUM(N910:P910))</f>
        <v>436</v>
      </c>
      <c r="R910" s="41">
        <v>436</v>
      </c>
      <c r="S910" s="46">
        <f>ТабПозиции[[#This Row],[totalSumm]]-ТабПозиции[[#This Row],[payment]]</f>
        <v>0</v>
      </c>
      <c r="T910" s="18" t="s">
        <v>1016</v>
      </c>
      <c r="U910" s="40" t="s">
        <v>545</v>
      </c>
      <c r="V910" s="40" t="s">
        <v>545</v>
      </c>
      <c r="W910" s="40" t="s">
        <v>545</v>
      </c>
      <c r="X910" s="3"/>
      <c r="Y910"/>
    </row>
    <row r="911" spans="1:25" hidden="1" x14ac:dyDescent="0.25">
      <c r="A911" s="10">
        <v>247</v>
      </c>
      <c r="B911" s="1">
        <f>IFERROR(VLOOKUP(ТабПозиции[[#This Row],[orderNum]],ТабЗаказы[#Data],MATCH(B$7,ТабЗаказы[#Headers],0),0),"")</f>
        <v>45546</v>
      </c>
      <c r="C911" t="str">
        <f>MONTH(ТабПозиции[[#This Row],[date]])&amp;"/"&amp;YEAR(ТабПозиции[[#This Row],[date]])</f>
        <v>9/2024</v>
      </c>
      <c r="D911" s="1" t="str">
        <f>IFERROR(VLOOKUP(ТабПозиции[[#This Row],[orderNum]],ТабЗаказы[#Data],MATCH(D$7,ТабЗаказы[#Headers],0),0),"")</f>
        <v/>
      </c>
      <c r="E911" s="1" t="str">
        <f>IFERROR(VLOOKUP(ТабПозиции[[#This Row],[orderNum]],ТабЗаказы[#Data],MATCH(E$7,ТабЗаказы[#Headers],0),0),"")</f>
        <v/>
      </c>
      <c r="F911" s="16" t="s">
        <v>1400</v>
      </c>
      <c r="G911" s="40" t="s">
        <v>545</v>
      </c>
      <c r="I911" s="18">
        <v>45566</v>
      </c>
      <c r="J911" s="10">
        <v>1</v>
      </c>
      <c r="K911" s="10">
        <v>673</v>
      </c>
      <c r="L911">
        <v>673</v>
      </c>
      <c r="M911" s="10">
        <v>673</v>
      </c>
      <c r="N911">
        <f t="shared" si="15"/>
        <v>673</v>
      </c>
      <c r="O911" s="10">
        <v>341</v>
      </c>
      <c r="P9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Row],[orderNum]],ТабПозиции[orderSumm])&gt;1500),ABS(N911*VLOOKUP(ТабПозиции[[#This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911">
        <f>IF(OR(ТабПозиции[[#This Row],[item]]="По штрихкоду",ТабПозиции[[#This Row],[item]]="Посылка"),ТабПозиции[[#This Row],[deliverySumm]]+ТабПозиции[[#This Row],[deliveryPost]],SUM(N911:P911))</f>
        <v>1115</v>
      </c>
      <c r="R911" s="41">
        <v>1115</v>
      </c>
      <c r="S911" s="46">
        <f>ТабПозиции[[#This Row],[totalSumm]]-ТабПозиции[[#This Row],[payment]]</f>
        <v>0</v>
      </c>
      <c r="T911" s="18" t="s">
        <v>1016</v>
      </c>
      <c r="U911" s="40" t="s">
        <v>545</v>
      </c>
      <c r="V911" s="40" t="s">
        <v>545</v>
      </c>
      <c r="W911" s="40" t="s">
        <v>545</v>
      </c>
      <c r="X911" s="3"/>
      <c r="Y911"/>
    </row>
    <row r="912" spans="1:25" hidden="1" x14ac:dyDescent="0.25">
      <c r="A912" s="10">
        <v>258</v>
      </c>
      <c r="B912" s="1">
        <f>IFERROR(VLOOKUP(ТабПозиции[[#This Row],[orderNum]],ТабЗаказы[#Data],MATCH(B$7,ТабЗаказы[#Headers],0),0),"")</f>
        <v>45554</v>
      </c>
      <c r="C912" t="str">
        <f>MONTH(ТабПозиции[[#This Row],[date]])&amp;"/"&amp;YEAR(ТабПозиции[[#This Row],[date]])</f>
        <v>9/2024</v>
      </c>
      <c r="D912" s="1" t="str">
        <f>IFERROR(VLOOKUP(ТабПозиции[[#This Row],[orderNum]],ТабЗаказы[#Data],MATCH(D$7,ТабЗаказы[#Headers],0),0),"")</f>
        <v/>
      </c>
      <c r="E912" s="1" t="str">
        <f>IFERROR(VLOOKUP(ТабПозиции[[#This Row],[orderNum]],ТабЗаказы[#Data],MATCH(E$7,ТабЗаказы[#Headers],0),0),"")</f>
        <v/>
      </c>
      <c r="F912" s="16" t="s">
        <v>1401</v>
      </c>
      <c r="G912" s="40" t="s">
        <v>545</v>
      </c>
      <c r="I912" s="18">
        <v>45556</v>
      </c>
      <c r="J912" s="10">
        <v>1</v>
      </c>
      <c r="K912" s="10">
        <v>2683</v>
      </c>
      <c r="L912">
        <v>2683</v>
      </c>
      <c r="M912" s="10">
        <v>2862</v>
      </c>
      <c r="N912">
        <f t="shared" si="15"/>
        <v>2862</v>
      </c>
      <c r="P9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Row],[orderNum]],ТабПозиции[orderSumm])&gt;1500),ABS(N912*VLOOKUP(ТабПозиции[[#This Row],[orderNum]],ТабЗаказы[#Data],MATCH("Percent",ТабЗаказы[#Headers],0),0))/100,200/COUNTIF(ТабПозиции[orderNum],ТабПозиции[[#This Row],[orderNum]])),0),"")</f>
        <v>429</v>
      </c>
      <c r="Q912">
        <f>IF(OR(ТабПозиции[[#This Row],[item]]="По штрихкоду",ТабПозиции[[#This Row],[item]]="Посылка"),ТабПозиции[[#This Row],[deliverySumm]]+ТабПозиции[[#This Row],[deliveryPost]],SUM(N912:P912))</f>
        <v>3291</v>
      </c>
      <c r="R912" s="41">
        <v>3291</v>
      </c>
      <c r="S912" s="46">
        <f>ТабПозиции[[#This Row],[totalSumm]]-ТабПозиции[[#This Row],[payment]]</f>
        <v>0</v>
      </c>
      <c r="T912" s="18" t="s">
        <v>960</v>
      </c>
      <c r="U912" s="40" t="s">
        <v>545</v>
      </c>
      <c r="V912" s="40" t="s">
        <v>545</v>
      </c>
      <c r="W912" s="40" t="s">
        <v>545</v>
      </c>
      <c r="X912" s="3"/>
      <c r="Y912"/>
    </row>
    <row r="913" spans="1:25" hidden="1" x14ac:dyDescent="0.25">
      <c r="A913" s="10">
        <v>258</v>
      </c>
      <c r="B913" s="1">
        <f>IFERROR(VLOOKUP(ТабПозиции[[#This Row],[orderNum]],ТабЗаказы[#Data],MATCH(B$7,ТабЗаказы[#Headers],0),0),"")</f>
        <v>45554</v>
      </c>
      <c r="C913" t="str">
        <f>MONTH(ТабПозиции[[#This Row],[date]])&amp;"/"&amp;YEAR(ТабПозиции[[#This Row],[date]])</f>
        <v>9/2024</v>
      </c>
      <c r="D913" s="1" t="str">
        <f>IFERROR(VLOOKUP(ТабПозиции[[#This Row],[orderNum]],ТабЗаказы[#Data],MATCH(D$7,ТабЗаказы[#Headers],0),0),"")</f>
        <v/>
      </c>
      <c r="E913" s="1" t="str">
        <f>IFERROR(VLOOKUP(ТабПозиции[[#This Row],[orderNum]],ТабЗаказы[#Data],MATCH(E$7,ТабЗаказы[#Headers],0),0),"")</f>
        <v/>
      </c>
      <c r="F913" s="16" t="s">
        <v>1402</v>
      </c>
      <c r="G913" s="40" t="s">
        <v>545</v>
      </c>
      <c r="I913" s="18">
        <v>45570</v>
      </c>
      <c r="J913" s="10">
        <v>1</v>
      </c>
      <c r="K913" s="10">
        <v>3050</v>
      </c>
      <c r="L913">
        <v>3050</v>
      </c>
      <c r="M913" s="10">
        <v>3225</v>
      </c>
      <c r="N913">
        <f t="shared" si="15"/>
        <v>3225</v>
      </c>
      <c r="P9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Row],[orderNum]],ТабПозиции[orderSumm])&gt;1500),ABS(N913*VLOOKUP(ТабПозиции[[#This Row],[orderNum]],ТабЗаказы[#Data],MATCH("Percent",ТабЗаказы[#Headers],0),0))/100,200/COUNTIF(ТабПозиции[orderNum],ТабПозиции[[#This Row],[orderNum]])),0),"")</f>
        <v>484</v>
      </c>
      <c r="Q913">
        <f>IF(OR(ТабПозиции[[#This Row],[item]]="По штрихкоду",ТабПозиции[[#This Row],[item]]="Посылка"),ТабПозиции[[#This Row],[deliverySumm]]+ТабПозиции[[#This Row],[deliveryPost]],SUM(N913:P913))</f>
        <v>3709</v>
      </c>
      <c r="R913" s="41">
        <v>3709</v>
      </c>
      <c r="S913" s="46">
        <f>ТабПозиции[[#This Row],[totalSumm]]-ТабПозиции[[#This Row],[payment]]</f>
        <v>0</v>
      </c>
      <c r="T913" s="18" t="s">
        <v>960</v>
      </c>
      <c r="U913" s="40" t="s">
        <v>545</v>
      </c>
      <c r="V913" s="40" t="s">
        <v>545</v>
      </c>
      <c r="W913" s="40" t="s">
        <v>545</v>
      </c>
      <c r="X913" s="3"/>
      <c r="Y913"/>
    </row>
    <row r="914" spans="1:25" hidden="1" x14ac:dyDescent="0.25">
      <c r="A914" s="10">
        <v>256</v>
      </c>
      <c r="B914" s="1">
        <f>IFERROR(VLOOKUP(ТабПозиции[[#This Row],[orderNum]],ТабЗаказы[#Data],MATCH(B$7,ТабЗаказы[#Headers],0),0),"")</f>
        <v>45552</v>
      </c>
      <c r="C914" t="str">
        <f>MONTH(ТабПозиции[[#This Row],[date]])&amp;"/"&amp;YEAR(ТабПозиции[[#This Row],[date]])</f>
        <v>9/2024</v>
      </c>
      <c r="D914" s="1" t="str">
        <f>IFERROR(VLOOKUP(ТабПозиции[[#This Row],[orderNum]],ТабЗаказы[#Data],MATCH(D$7,ТабЗаказы[#Headers],0),0),"")</f>
        <v/>
      </c>
      <c r="E914" s="1" t="str">
        <f>IFERROR(VLOOKUP(ТабПозиции[[#This Row],[orderNum]],ТабЗаказы[#Data],MATCH(E$7,ТабЗаказы[#Headers],0),0),"")</f>
        <v/>
      </c>
      <c r="F914" s="10" t="s">
        <v>820</v>
      </c>
      <c r="G914" s="40" t="s">
        <v>545</v>
      </c>
      <c r="H914" s="31" t="s">
        <v>1407</v>
      </c>
      <c r="I914" s="18">
        <v>45562</v>
      </c>
      <c r="J914" s="10">
        <v>1</v>
      </c>
      <c r="K914" s="10">
        <v>6990</v>
      </c>
      <c r="L914">
        <v>6990</v>
      </c>
      <c r="M914" s="10">
        <v>6990</v>
      </c>
      <c r="N914">
        <f t="shared" si="15"/>
        <v>6990</v>
      </c>
      <c r="O914" s="38">
        <v>492</v>
      </c>
      <c r="P9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Row],[orderNum]],ТабПозиции[orderSumm])&gt;1500),ABS(N914*VLOOKUP(ТабПозиции[[#This Row],[orderNum]],ТабЗаказы[#Data],MATCH("Percent",ТабЗаказы[#Headers],0),0))/100,200/COUNTIF(ТабПозиции[orderNum],ТабПозиции[[#This Row],[orderNum]])),0),"")</f>
        <v>699</v>
      </c>
      <c r="Q914">
        <f>IF(OR(ТабПозиции[[#This Row],[item]]="По штрихкоду",ТабПозиции[[#This Row],[item]]="Посылка"),ТабПозиции[[#This Row],[deliverySumm]]+ТабПозиции[[#This Row],[deliveryPost]],SUM(N914:P914))</f>
        <v>1191</v>
      </c>
      <c r="R914" s="41">
        <v>1191</v>
      </c>
      <c r="S914" s="46">
        <f>ТабПозиции[[#This Row],[totalSumm]]-ТабПозиции[[#This Row],[payment]]</f>
        <v>0</v>
      </c>
      <c r="T914" s="18" t="s">
        <v>1021</v>
      </c>
      <c r="U914" s="40" t="s">
        <v>545</v>
      </c>
      <c r="V914" s="40" t="s">
        <v>545</v>
      </c>
      <c r="W914" s="40" t="s">
        <v>545</v>
      </c>
      <c r="X914" s="3"/>
      <c r="Y914"/>
    </row>
    <row r="915" spans="1:25" hidden="1" x14ac:dyDescent="0.25">
      <c r="A915" s="10">
        <v>232</v>
      </c>
      <c r="B915" s="1">
        <f>IFERROR(VLOOKUP(ТабПозиции[[#This Row],[orderNum]],ТабЗаказы[#Data],MATCH(B$7,ТабЗаказы[#Headers],0),0),"")</f>
        <v>45555</v>
      </c>
      <c r="C915" t="str">
        <f>MONTH(ТабПозиции[[#This Row],[date]])&amp;"/"&amp;YEAR(ТабПозиции[[#This Row],[date]])</f>
        <v>9/2024</v>
      </c>
      <c r="D915" s="1" t="str">
        <f>IFERROR(VLOOKUP(ТабПозиции[[#This Row],[orderNum]],ТабЗаказы[#Data],MATCH(D$7,ТабЗаказы[#Headers],0),0),"")</f>
        <v/>
      </c>
      <c r="E915" s="1" t="str">
        <f>IFERROR(VLOOKUP(ТабПозиции[[#This Row],[orderNum]],ТабЗаказы[#Data],MATCH(E$7,ТабЗаказы[#Headers],0),0),"")</f>
        <v/>
      </c>
      <c r="F915" s="10" t="s">
        <v>32</v>
      </c>
      <c r="G915" s="40" t="s">
        <v>545</v>
      </c>
      <c r="I915" s="18">
        <v>45555</v>
      </c>
      <c r="J915" s="10">
        <v>1</v>
      </c>
      <c r="K915" s="10">
        <v>5766</v>
      </c>
      <c r="L915">
        <v>5766</v>
      </c>
      <c r="M915" s="10">
        <v>5766</v>
      </c>
      <c r="N915">
        <f t="shared" si="15"/>
        <v>5766</v>
      </c>
      <c r="O915" s="10">
        <v>400</v>
      </c>
      <c r="P9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Row],[orderNum]],ТабПозиции[orderSumm])&gt;1500),ABS(N915*VLOOKUP(ТабПозиции[[#This Row],[orderNum]],ТабЗаказы[#Data],MATCH("Percent",ТабЗаказы[#Headers],0),0))/100,200/COUNTIF(ТабПозиции[orderNum],ТабПозиции[[#This Row],[orderNum]])),0),"")</f>
        <v>865</v>
      </c>
      <c r="Q915">
        <f>IF(OR(ТабПозиции[[#This Row],[item]]="По штрихкоду",ТабПозиции[[#This Row],[item]]="Посылка"),ТабПозиции[[#This Row],[deliverySumm]]+ТабПозиции[[#This Row],[deliveryPost]],SUM(N915:P915))</f>
        <v>1265</v>
      </c>
      <c r="R915" s="41">
        <v>1265</v>
      </c>
      <c r="S915" s="46">
        <f>ТабПозиции[[#This Row],[totalSumm]]-ТабПозиции[[#This Row],[payment]]</f>
        <v>0</v>
      </c>
      <c r="T915" s="18" t="s">
        <v>960</v>
      </c>
      <c r="U915" s="40" t="s">
        <v>545</v>
      </c>
      <c r="V915" s="40" t="s">
        <v>545</v>
      </c>
      <c r="W915" s="40" t="s">
        <v>545</v>
      </c>
      <c r="X915" s="3"/>
      <c r="Y915"/>
    </row>
    <row r="916" spans="1:25" hidden="1" x14ac:dyDescent="0.25">
      <c r="A916" s="10">
        <v>246</v>
      </c>
      <c r="B916" s="1">
        <f>IFERROR(VLOOKUP(ТабПозиции[[#This Row],[orderNum]],ТабЗаказы[#Data],MATCH(B$7,ТабЗаказы[#Headers],0),0),"")</f>
        <v>45555</v>
      </c>
      <c r="C916" t="str">
        <f>MONTH(ТабПозиции[[#This Row],[date]])&amp;"/"&amp;YEAR(ТабПозиции[[#This Row],[date]])</f>
        <v>9/2024</v>
      </c>
      <c r="D916" s="1" t="str">
        <f>IFERROR(VLOOKUP(ТабПозиции[[#This Row],[orderNum]],ТабЗаказы[#Data],MATCH(D$7,ТабЗаказы[#Headers],0),0),"")</f>
        <v/>
      </c>
      <c r="E916" s="1" t="str">
        <f>IFERROR(VLOOKUP(ТабПозиции[[#This Row],[orderNum]],ТабЗаказы[#Data],MATCH(E$7,ТабЗаказы[#Headers],0),0),"")</f>
        <v/>
      </c>
      <c r="F916" s="10" t="s">
        <v>32</v>
      </c>
      <c r="G916" s="40" t="s">
        <v>545</v>
      </c>
      <c r="I916" s="18">
        <v>45555</v>
      </c>
      <c r="J916" s="10">
        <v>1</v>
      </c>
      <c r="K916" s="10">
        <f>1681+2800</f>
        <v>4481</v>
      </c>
      <c r="L916">
        <v>4481</v>
      </c>
      <c r="M916" s="10">
        <v>4481</v>
      </c>
      <c r="N916">
        <f t="shared" si="15"/>
        <v>4481</v>
      </c>
      <c r="P9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Row],[orderNum]],ТабПозиции[orderSumm])&gt;1500),ABS(N916*VLOOKUP(ТабПозиции[[#This Row],[orderNum]],ТабЗаказы[#Data],MATCH("Percent",ТабЗаказы[#Headers],0),0))/100,200/COUNTIF(ТабПозиции[orderNum],ТабПозиции[[#This Row],[orderNum]])),0),"")</f>
        <v>672</v>
      </c>
      <c r="Q916">
        <f>IF(OR(ТабПозиции[[#This Row],[item]]="По штрихкоду",ТабПозиции[[#This Row],[item]]="Посылка"),ТабПозиции[[#This Row],[deliverySumm]]+ТабПозиции[[#This Row],[deliveryPost]],SUM(N916:P916))</f>
        <v>672</v>
      </c>
      <c r="R916" s="41">
        <v>672</v>
      </c>
      <c r="S916" s="46">
        <f>ТабПозиции[[#This Row],[totalSumm]]-ТабПозиции[[#This Row],[payment]]</f>
        <v>0</v>
      </c>
      <c r="T916" s="18" t="s">
        <v>960</v>
      </c>
      <c r="U916" s="40" t="s">
        <v>545</v>
      </c>
      <c r="V916" s="40" t="s">
        <v>545</v>
      </c>
      <c r="W916" s="40" t="s">
        <v>545</v>
      </c>
      <c r="X916" s="3"/>
      <c r="Y916"/>
    </row>
    <row r="917" spans="1:25" hidden="1" x14ac:dyDescent="0.25">
      <c r="A917" s="10">
        <v>259</v>
      </c>
      <c r="B917" s="1">
        <f>IFERROR(VLOOKUP(ТабПозиции[[#This Row],[orderNum]],ТабЗаказы[#Data],MATCH(B$7,ТабЗаказы[#Headers],0),0),"")</f>
        <v>45555</v>
      </c>
      <c r="C917" t="str">
        <f>MONTH(ТабПозиции[[#This Row],[date]])&amp;"/"&amp;YEAR(ТабПозиции[[#This Row],[date]])</f>
        <v>9/2024</v>
      </c>
      <c r="D917" s="1" t="str">
        <f>IFERROR(VLOOKUP(ТабПозиции[[#This Row],[orderNum]],ТабЗаказы[#Data],MATCH(D$7,ТабЗаказы[#Headers],0),0),"")</f>
        <v/>
      </c>
      <c r="E917" s="1" t="str">
        <f>IFERROR(VLOOKUP(ТабПозиции[[#This Row],[orderNum]],ТабЗаказы[#Data],MATCH(E$7,ТабЗаказы[#Headers],0),0),"")</f>
        <v/>
      </c>
      <c r="F917" s="10" t="s">
        <v>32</v>
      </c>
      <c r="G917" s="40" t="s">
        <v>545</v>
      </c>
      <c r="I917" s="18">
        <v>45555</v>
      </c>
      <c r="J917" s="10">
        <v>1</v>
      </c>
      <c r="K917" s="10">
        <f>297+279+149+169+212+577+323+1+441+165+2179</f>
        <v>4792</v>
      </c>
      <c r="L917">
        <v>4792</v>
      </c>
      <c r="M917" s="10">
        <f>297+279+149+169+212+577+323+1+441+165+2179</f>
        <v>4792</v>
      </c>
      <c r="N917">
        <f t="shared" si="15"/>
        <v>4792</v>
      </c>
      <c r="P9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Row],[orderNum]],ТабПозиции[orderSumm])&gt;1500),ABS(N917*VLOOKUP(ТабПозиции[[#This Row],[orderNum]],ТабЗаказы[#Data],MATCH("Percent",ТабЗаказы[#Headers],0),0))/100,200/COUNTIF(ТабПозиции[orderNum],ТабПозиции[[#This Row],[orderNum]])),0),"")</f>
        <v>719</v>
      </c>
      <c r="Q917">
        <f>IF(OR(ТабПозиции[[#This Row],[item]]="По штрихкоду",ТабПозиции[[#This Row],[item]]="Посылка"),ТабПозиции[[#This Row],[deliverySumm]]+ТабПозиции[[#This Row],[deliveryPost]],SUM(N917:P917))</f>
        <v>719</v>
      </c>
      <c r="R917" s="41">
        <v>719</v>
      </c>
      <c r="S917" s="46">
        <f>ТабПозиции[[#This Row],[totalSumm]]-ТабПозиции[[#This Row],[payment]]</f>
        <v>0</v>
      </c>
      <c r="T917" s="18" t="s">
        <v>960</v>
      </c>
      <c r="U917" s="40" t="s">
        <v>545</v>
      </c>
      <c r="V917" s="40" t="s">
        <v>545</v>
      </c>
      <c r="W917" s="40" t="s">
        <v>545</v>
      </c>
      <c r="X917" s="3"/>
      <c r="Y917"/>
    </row>
    <row r="918" spans="1:25" hidden="1" x14ac:dyDescent="0.25">
      <c r="A918" s="10">
        <v>260</v>
      </c>
      <c r="B918" s="1">
        <f>IFERROR(VLOOKUP(ТабПозиции[[#This Row],[orderNum]],ТабЗаказы[#Data],MATCH(B$7,ТабЗаказы[#Headers],0),0),"")</f>
        <v>45555</v>
      </c>
      <c r="C918" t="str">
        <f>MONTH(ТабПозиции[[#This Row],[date]])&amp;"/"&amp;YEAR(ТабПозиции[[#This Row],[date]])</f>
        <v>9/2024</v>
      </c>
      <c r="D918" s="1" t="str">
        <f>IFERROR(VLOOKUP(ТабПозиции[[#This Row],[orderNum]],ТабЗаказы[#Data],MATCH(D$7,ТабЗаказы[#Headers],0),0),"")</f>
        <v/>
      </c>
      <c r="E918" s="1" t="str">
        <f>IFERROR(VLOOKUP(ТабПозиции[[#This Row],[orderNum]],ТабЗаказы[#Data],MATCH(E$7,ТабЗаказы[#Headers],0),0),"")</f>
        <v/>
      </c>
      <c r="F918" s="10" t="s">
        <v>32</v>
      </c>
      <c r="G918" s="40" t="s">
        <v>545</v>
      </c>
      <c r="I918" s="18">
        <v>45555</v>
      </c>
      <c r="J918" s="10">
        <v>1</v>
      </c>
      <c r="K918" s="10">
        <v>11179</v>
      </c>
      <c r="L918">
        <v>11179</v>
      </c>
      <c r="M918" s="10">
        <v>11179</v>
      </c>
      <c r="N918">
        <f t="shared" si="15"/>
        <v>11179</v>
      </c>
      <c r="P9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Row],[orderNum]],ТабПозиции[orderSumm])&gt;1500),ABS(N918*VLOOKUP(ТабПозиции[[#This Row],[orderNum]],ТабЗаказы[#Data],MATCH("Percent",ТабЗаказы[#Headers],0),0))/100,200/COUNTIF(ТабПозиции[orderNum],ТабПозиции[[#This Row],[orderNum]])),0),"")</f>
        <v>1118</v>
      </c>
      <c r="Q918">
        <f>IF(OR(ТабПозиции[[#This Row],[item]]="По штрихкоду",ТабПозиции[[#This Row],[item]]="Посылка"),ТабПозиции[[#This Row],[deliverySumm]]+ТабПозиции[[#This Row],[deliveryPost]],SUM(N918:P918))</f>
        <v>1118</v>
      </c>
      <c r="R918" s="41">
        <v>1118</v>
      </c>
      <c r="S918" s="46">
        <f>ТабПозиции[[#This Row],[totalSumm]]-ТабПозиции[[#This Row],[payment]]</f>
        <v>0</v>
      </c>
      <c r="T918" s="18" t="s">
        <v>960</v>
      </c>
      <c r="U918" s="40" t="s">
        <v>545</v>
      </c>
      <c r="V918" s="40" t="s">
        <v>545</v>
      </c>
      <c r="W918" s="40" t="s">
        <v>545</v>
      </c>
      <c r="X918" s="3"/>
      <c r="Y918"/>
    </row>
    <row r="919" spans="1:25" hidden="1" x14ac:dyDescent="0.25">
      <c r="A919" s="10">
        <v>261</v>
      </c>
      <c r="B919" s="1">
        <f>IFERROR(VLOOKUP(ТабПозиции[[#This Row],[orderNum]],ТабЗаказы[#Data],MATCH(B$7,ТабЗаказы[#Headers],0),0),"")</f>
        <v>45556</v>
      </c>
      <c r="C919" t="str">
        <f>MONTH(ТабПозиции[[#This Row],[date]])&amp;"/"&amp;YEAR(ТабПозиции[[#This Row],[date]])</f>
        <v>9/2024</v>
      </c>
      <c r="D919" s="1" t="str">
        <f>IFERROR(VLOOKUP(ТабПозиции[[#This Row],[orderNum]],ТабЗаказы[#Data],MATCH(D$7,ТабЗаказы[#Headers],0),0),"")</f>
        <v/>
      </c>
      <c r="E919" s="1" t="str">
        <f>IFERROR(VLOOKUP(ТабПозиции[[#This Row],[orderNum]],ТабЗаказы[#Data],MATCH(E$7,ТабЗаказы[#Headers],0),0),"")</f>
        <v/>
      </c>
      <c r="F919" s="16" t="s">
        <v>1412</v>
      </c>
      <c r="G919" s="40" t="s">
        <v>545</v>
      </c>
      <c r="I919" s="18">
        <v>45557</v>
      </c>
      <c r="J919" s="10">
        <v>1</v>
      </c>
      <c r="K919" s="10">
        <v>441</v>
      </c>
      <c r="L919">
        <v>441</v>
      </c>
      <c r="M919" s="10">
        <v>450</v>
      </c>
      <c r="N919">
        <f t="shared" si="15"/>
        <v>450</v>
      </c>
      <c r="P9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Row],[orderNum]],ТабПозиции[orderSumm])&gt;1500),ABS(N919*VLOOKUP(ТабПозиции[[#This Row],[orderNum]],ТабЗаказы[#Data],MATCH("Percent",ТабЗаказы[#Headers],0),0))/100,200/COUNTIF(ТабПозиции[orderNum],ТабПозиции[[#This Row],[orderNum]])),0),"")</f>
        <v>68</v>
      </c>
      <c r="Q919">
        <f>IF(OR(ТабПозиции[[#This Row],[item]]="По штрихкоду",ТабПозиции[[#This Row],[item]]="Посылка"),ТабПозиции[[#This Row],[deliverySumm]]+ТабПозиции[[#This Row],[deliveryPost]],SUM(N919:P919))</f>
        <v>518</v>
      </c>
      <c r="R919" s="41">
        <v>518</v>
      </c>
      <c r="S919" s="46">
        <f>ТабПозиции[[#This Row],[totalSumm]]-ТабПозиции[[#This Row],[payment]]</f>
        <v>0</v>
      </c>
      <c r="T919" s="18" t="s">
        <v>960</v>
      </c>
      <c r="U919" s="40" t="s">
        <v>545</v>
      </c>
      <c r="V919" s="40" t="s">
        <v>545</v>
      </c>
      <c r="W919" s="40" t="s">
        <v>545</v>
      </c>
      <c r="X919" s="3"/>
      <c r="Y919"/>
    </row>
    <row r="920" spans="1:25" hidden="1" x14ac:dyDescent="0.25">
      <c r="A920" s="10">
        <v>261</v>
      </c>
      <c r="B920" s="1">
        <f>IFERROR(VLOOKUP(ТабПозиции[[#This Row],[orderNum]],ТабЗаказы[#Data],MATCH(B$7,ТабЗаказы[#Headers],0),0),"")</f>
        <v>45556</v>
      </c>
      <c r="C920" t="str">
        <f>MONTH(ТабПозиции[[#This Row],[date]])&amp;"/"&amp;YEAR(ТабПозиции[[#This Row],[date]])</f>
        <v>9/2024</v>
      </c>
      <c r="D920" s="1" t="str">
        <f>IFERROR(VLOOKUP(ТабПозиции[[#This Row],[orderNum]],ТабЗаказы[#Data],MATCH(D$7,ТабЗаказы[#Headers],0),0),"")</f>
        <v/>
      </c>
      <c r="E920" s="1" t="str">
        <f>IFERROR(VLOOKUP(ТабПозиции[[#This Row],[orderNum]],ТабЗаказы[#Data],MATCH(E$7,ТабЗаказы[#Headers],0),0),"")</f>
        <v/>
      </c>
      <c r="F920" s="16" t="s">
        <v>1413</v>
      </c>
      <c r="G920" s="40" t="s">
        <v>545</v>
      </c>
      <c r="I920" s="18">
        <v>45558</v>
      </c>
      <c r="J920" s="10">
        <v>1</v>
      </c>
      <c r="K920" s="10">
        <v>108</v>
      </c>
      <c r="L920">
        <v>108</v>
      </c>
      <c r="M920" s="10">
        <v>120</v>
      </c>
      <c r="N920">
        <f t="shared" si="15"/>
        <v>120</v>
      </c>
      <c r="P9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Row],[orderNum]],ТабПозиции[orderSumm])&gt;1500),ABS(N920*VLOOKUP(ТабПозиции[[#This Row],[orderNum]],ТабЗаказы[#Data],MATCH("Percent",ТабЗаказы[#Headers],0),0))/100,200/COUNTIF(ТабПозиции[orderNum],ТабПозиции[[#This Row],[orderNum]])),0),"")</f>
        <v>18</v>
      </c>
      <c r="Q920">
        <f>IF(OR(ТабПозиции[[#This Row],[item]]="По штрихкоду",ТабПозиции[[#This Row],[item]]="Посылка"),ТабПозиции[[#This Row],[deliverySumm]]+ТабПозиции[[#This Row],[deliveryPost]],SUM(N920:P920))</f>
        <v>138</v>
      </c>
      <c r="R920" s="41">
        <v>138</v>
      </c>
      <c r="S920" s="46">
        <f>ТабПозиции[[#This Row],[totalSumm]]-ТабПозиции[[#This Row],[payment]]</f>
        <v>0</v>
      </c>
      <c r="T920" s="18" t="s">
        <v>960</v>
      </c>
      <c r="U920" s="40" t="s">
        <v>545</v>
      </c>
      <c r="V920" s="40" t="s">
        <v>545</v>
      </c>
      <c r="W920" s="40" t="s">
        <v>545</v>
      </c>
      <c r="X920" s="3"/>
      <c r="Y920"/>
    </row>
    <row r="921" spans="1:25" hidden="1" x14ac:dyDescent="0.25">
      <c r="A921" s="10">
        <v>261</v>
      </c>
      <c r="B921" s="1">
        <f>IFERROR(VLOOKUP(ТабПозиции[[#This Row],[orderNum]],ТабЗаказы[#Data],MATCH(B$7,ТабЗаказы[#Headers],0),0),"")</f>
        <v>45556</v>
      </c>
      <c r="C921" t="str">
        <f>MONTH(ТабПозиции[[#This Row],[date]])&amp;"/"&amp;YEAR(ТабПозиции[[#This Row],[date]])</f>
        <v>9/2024</v>
      </c>
      <c r="D921" s="1" t="str">
        <f>IFERROR(VLOOKUP(ТабПозиции[[#This Row],[orderNum]],ТабЗаказы[#Data],MATCH(D$7,ТабЗаказы[#Headers],0),0),"")</f>
        <v/>
      </c>
      <c r="E921" s="1" t="str">
        <f>IFERROR(VLOOKUP(ТабПозиции[[#This Row],[orderNum]],ТабЗаказы[#Data],MATCH(E$7,ТабЗаказы[#Headers],0),0),"")</f>
        <v/>
      </c>
      <c r="F921" s="16" t="s">
        <v>1373</v>
      </c>
      <c r="G921" s="40" t="s">
        <v>545</v>
      </c>
      <c r="I921" s="18">
        <v>45559</v>
      </c>
      <c r="J921" s="10">
        <v>1</v>
      </c>
      <c r="K921" s="10">
        <v>1144</v>
      </c>
      <c r="L921">
        <v>1144</v>
      </c>
      <c r="M921" s="10">
        <v>1205</v>
      </c>
      <c r="N921">
        <f t="shared" si="15"/>
        <v>1205</v>
      </c>
      <c r="P9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Row],[orderNum]],ТабПозиции[orderSumm])&gt;1500),ABS(N921*VLOOKUP(ТабПозиции[[#This Row],[orderNum]],ТабЗаказы[#Data],MATCH("Percent",ТабЗаказы[#Headers],0),0))/100,200/COUNTIF(ТабПозиции[orderNum],ТабПозиции[[#This Row],[orderNum]])),0),"")</f>
        <v>181</v>
      </c>
      <c r="Q921">
        <f>IF(OR(ТабПозиции[[#This Row],[item]]="По штрихкоду",ТабПозиции[[#This Row],[item]]="Посылка"),ТабПозиции[[#This Row],[deliverySumm]]+ТабПозиции[[#This Row],[deliveryPost]],SUM(N921:P921))</f>
        <v>1386</v>
      </c>
      <c r="R921" s="41">
        <v>1386</v>
      </c>
      <c r="S921" s="46">
        <f>ТабПозиции[[#This Row],[totalSumm]]-ТабПозиции[[#This Row],[payment]]</f>
        <v>0</v>
      </c>
      <c r="T921" s="18" t="s">
        <v>970</v>
      </c>
      <c r="U921" s="40" t="s">
        <v>545</v>
      </c>
      <c r="V921" s="40" t="s">
        <v>545</v>
      </c>
      <c r="W921" s="40" t="s">
        <v>545</v>
      </c>
      <c r="X921" s="3"/>
      <c r="Y921"/>
    </row>
    <row r="922" spans="1:25" hidden="1" x14ac:dyDescent="0.25">
      <c r="A922" s="10">
        <v>261</v>
      </c>
      <c r="B922" s="1">
        <f>IFERROR(VLOOKUP(ТабПозиции[[#This Row],[orderNum]],ТабЗаказы[#Data],MATCH(B$7,ТабЗаказы[#Headers],0),0),"")</f>
        <v>45556</v>
      </c>
      <c r="C922" t="str">
        <f>MONTH(ТабПозиции[[#This Row],[date]])&amp;"/"&amp;YEAR(ТабПозиции[[#This Row],[date]])</f>
        <v>9/2024</v>
      </c>
      <c r="D922" s="1" t="str">
        <f>IFERROR(VLOOKUP(ТабПозиции[[#This Row],[orderNum]],ТабЗаказы[#Data],MATCH(D$7,ТабЗаказы[#Headers],0),0),"")</f>
        <v/>
      </c>
      <c r="E922" s="1" t="str">
        <f>IFERROR(VLOOKUP(ТабПозиции[[#This Row],[orderNum]],ТабЗаказы[#Data],MATCH(E$7,ТабЗаказы[#Headers],0),0),"")</f>
        <v/>
      </c>
      <c r="F922" s="16" t="s">
        <v>1414</v>
      </c>
      <c r="G922" s="40" t="s">
        <v>545</v>
      </c>
      <c r="I922" s="18">
        <v>45559</v>
      </c>
      <c r="J922" s="10">
        <v>1</v>
      </c>
      <c r="K922" s="10">
        <v>258</v>
      </c>
      <c r="L922">
        <v>258</v>
      </c>
      <c r="M922" s="10">
        <v>272</v>
      </c>
      <c r="N922">
        <f t="shared" si="15"/>
        <v>272</v>
      </c>
      <c r="P9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Row],[orderNum]],ТабПозиции[orderSumm])&gt;1500),ABS(N922*VLOOKUP(ТабПозиции[[#This Row],[orderNum]],ТабЗаказы[#Data],MATCH("Percent",ТабЗаказы[#Headers],0),0))/100,200/COUNTIF(ТабПозиции[orderNum],ТабПозиции[[#This Row],[orderNum]])),0),"")</f>
        <v>41</v>
      </c>
      <c r="Q922">
        <f>IF(OR(ТабПозиции[[#This Row],[item]]="По штрихкоду",ТабПозиции[[#This Row],[item]]="Посылка"),ТабПозиции[[#This Row],[deliverySumm]]+ТабПозиции[[#This Row],[deliveryPost]],SUM(N922:P922))</f>
        <v>313</v>
      </c>
      <c r="R922" s="41">
        <v>313</v>
      </c>
      <c r="S922" s="46">
        <f>ТабПозиции[[#This Row],[totalSumm]]-ТабПозиции[[#This Row],[payment]]</f>
        <v>0</v>
      </c>
      <c r="T922" s="18" t="s">
        <v>970</v>
      </c>
      <c r="U922" s="40" t="s">
        <v>545</v>
      </c>
      <c r="V922" s="40" t="s">
        <v>545</v>
      </c>
      <c r="W922" s="40" t="s">
        <v>545</v>
      </c>
      <c r="X922" s="3"/>
      <c r="Y922"/>
    </row>
    <row r="923" spans="1:25" hidden="1" x14ac:dyDescent="0.25">
      <c r="A923" s="10">
        <v>261</v>
      </c>
      <c r="B923" s="1">
        <f>IFERROR(VLOOKUP(ТабПозиции[[#This Row],[orderNum]],ТабЗаказы[#Data],MATCH(B$7,ТабЗаказы[#Headers],0),0),"")</f>
        <v>45556</v>
      </c>
      <c r="C923" t="str">
        <f>MONTH(ТабПозиции[[#This Row],[date]])&amp;"/"&amp;YEAR(ТабПозиции[[#This Row],[date]])</f>
        <v>9/2024</v>
      </c>
      <c r="D923" s="1" t="str">
        <f>IFERROR(VLOOKUP(ТабПозиции[[#This Row],[orderNum]],ТабЗаказы[#Data],MATCH(D$7,ТабЗаказы[#Headers],0),0),"")</f>
        <v/>
      </c>
      <c r="E923" s="1" t="str">
        <f>IFERROR(VLOOKUP(ТабПозиции[[#This Row],[orderNum]],ТабЗаказы[#Data],MATCH(E$7,ТабЗаказы[#Headers],0),0),"")</f>
        <v/>
      </c>
      <c r="F923" s="16" t="s">
        <v>1415</v>
      </c>
      <c r="G923" s="40" t="s">
        <v>545</v>
      </c>
      <c r="I923" s="18">
        <v>45559</v>
      </c>
      <c r="J923" s="10">
        <v>1</v>
      </c>
      <c r="K923" s="10">
        <v>356</v>
      </c>
      <c r="L923">
        <v>356</v>
      </c>
      <c r="M923" s="10">
        <v>375</v>
      </c>
      <c r="N923">
        <f t="shared" ref="N923:N984" si="16">M923*J923</f>
        <v>375</v>
      </c>
      <c r="P9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Row],[orderNum]],ТабПозиции[orderSumm])&gt;1500),ABS(N923*VLOOKUP(ТабПозиции[[#This Row],[orderNum]],ТабЗаказы[#Data],MATCH("Percent",ТабЗаказы[#Headers],0),0))/100,200/COUNTIF(ТабПозиции[orderNum],ТабПозиции[[#This Row],[orderNum]])),0),"")</f>
        <v>56</v>
      </c>
      <c r="Q923">
        <f>IF(OR(ТабПозиции[[#This Row],[item]]="По штрихкоду",ТабПозиции[[#This Row],[item]]="Посылка"),ТабПозиции[[#This Row],[deliverySumm]]+ТабПозиции[[#This Row],[deliveryPost]],SUM(N923:P923))</f>
        <v>431</v>
      </c>
      <c r="R923" s="41">
        <v>431</v>
      </c>
      <c r="S923" s="46">
        <f>ТабПозиции[[#This Row],[totalSumm]]-ТабПозиции[[#This Row],[payment]]</f>
        <v>0</v>
      </c>
      <c r="T923" s="18" t="s">
        <v>970</v>
      </c>
      <c r="U923" s="40" t="s">
        <v>545</v>
      </c>
      <c r="V923" s="40" t="s">
        <v>545</v>
      </c>
      <c r="W923" s="40" t="s">
        <v>545</v>
      </c>
      <c r="X923" s="3"/>
      <c r="Y923"/>
    </row>
    <row r="924" spans="1:25" hidden="1" x14ac:dyDescent="0.25">
      <c r="A924" s="10">
        <v>218</v>
      </c>
      <c r="B924" s="1">
        <f>IFERROR(VLOOKUP(ТабПозиции[[#This Row],[orderNum]],ТабЗаказы[#Data],MATCH(B$7,ТабЗаказы[#Headers],0),0),"")</f>
        <v>45559</v>
      </c>
      <c r="C924" t="str">
        <f>MONTH(ТабПозиции[[#This Row],[date]])&amp;"/"&amp;YEAR(ТабПозиции[[#This Row],[date]])</f>
        <v>9/2024</v>
      </c>
      <c r="D924" s="1" t="str">
        <f>IFERROR(VLOOKUP(ТабПозиции[[#This Row],[orderNum]],ТабЗаказы[#Data],MATCH(D$7,ТабЗаказы[#Headers],0),0),"")</f>
        <v/>
      </c>
      <c r="E924" s="1" t="str">
        <f>IFERROR(VLOOKUP(ТабПозиции[[#This Row],[orderNum]],ТабЗаказы[#Data],MATCH(E$7,ТабЗаказы[#Headers],0),0),"")</f>
        <v/>
      </c>
      <c r="F924" s="16" t="s">
        <v>1420</v>
      </c>
      <c r="G924" s="40" t="s">
        <v>545</v>
      </c>
      <c r="I924" s="18">
        <v>45561</v>
      </c>
      <c r="J924" s="10">
        <v>1</v>
      </c>
      <c r="K924" s="10">
        <v>2660</v>
      </c>
      <c r="L924">
        <v>2660</v>
      </c>
      <c r="M924" s="10">
        <v>2800</v>
      </c>
      <c r="N924">
        <f t="shared" si="16"/>
        <v>2800</v>
      </c>
      <c r="P9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Row],[orderNum]],ТабПозиции[orderSumm])&gt;1500),ABS(N924*VLOOKUP(ТабПозиции[[#This Row],[orderNum]],ТабЗаказы[#Data],MATCH("Percent",ТабЗаказы[#Headers],0),0))/100,200/COUNTIF(ТабПозиции[orderNum],ТабПозиции[[#This Row],[orderNum]])),0),"")</f>
        <v>420</v>
      </c>
      <c r="Q924">
        <f>IF(OR(ТабПозиции[[#This Row],[item]]="По штрихкоду",ТабПозиции[[#This Row],[item]]="Посылка"),ТабПозиции[[#This Row],[deliverySumm]]+ТабПозиции[[#This Row],[deliveryPost]],SUM(N924:P924))</f>
        <v>3220</v>
      </c>
      <c r="R924" s="41">
        <v>3220</v>
      </c>
      <c r="S924" s="46">
        <f>ТабПозиции[[#This Row],[totalSumm]]-ТабПозиции[[#This Row],[payment]]</f>
        <v>0</v>
      </c>
      <c r="T924" s="18" t="s">
        <v>970</v>
      </c>
      <c r="U924" s="40" t="s">
        <v>545</v>
      </c>
      <c r="V924" s="40" t="s">
        <v>545</v>
      </c>
      <c r="W924" s="40" t="s">
        <v>545</v>
      </c>
      <c r="X924" s="3"/>
      <c r="Y924"/>
    </row>
    <row r="925" spans="1:25" hidden="1" x14ac:dyDescent="0.25">
      <c r="A925" s="10">
        <v>218</v>
      </c>
      <c r="B925" s="1">
        <f>IFERROR(VLOOKUP(ТабПозиции[[#This Row],[orderNum]],ТабЗаказы[#Data],MATCH(B$7,ТабЗаказы[#Headers],0),0),"")</f>
        <v>45559</v>
      </c>
      <c r="C925" t="str">
        <f>MONTH(ТабПозиции[[#This Row],[date]])&amp;"/"&amp;YEAR(ТабПозиции[[#This Row],[date]])</f>
        <v>9/2024</v>
      </c>
      <c r="D925" s="1" t="str">
        <f>IFERROR(VLOOKUP(ТабПозиции[[#This Row],[orderNum]],ТабЗаказы[#Data],MATCH(D$7,ТабЗаказы[#Headers],0),0),"")</f>
        <v/>
      </c>
      <c r="E925" s="1" t="str">
        <f>IFERROR(VLOOKUP(ТабПозиции[[#This Row],[orderNum]],ТабЗаказы[#Data],MATCH(E$7,ТабЗаказы[#Headers],0),0),"")</f>
        <v/>
      </c>
      <c r="F925" s="16" t="s">
        <v>1422</v>
      </c>
      <c r="G925" s="40" t="s">
        <v>545</v>
      </c>
      <c r="I925" s="18">
        <v>45561</v>
      </c>
      <c r="J925" s="10">
        <v>1</v>
      </c>
      <c r="K925" s="10">
        <v>410</v>
      </c>
      <c r="L925">
        <v>410</v>
      </c>
      <c r="M925" s="10">
        <v>432</v>
      </c>
      <c r="N925">
        <f t="shared" si="16"/>
        <v>432</v>
      </c>
      <c r="P9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Row],[orderNum]],ТабПозиции[orderSumm])&gt;1500),ABS(N925*VLOOKUP(ТабПозиции[[#This Row],[orderNum]],ТабЗаказы[#Data],MATCH("Percent",ТабЗаказы[#Headers],0),0))/100,200/COUNTIF(ТабПозиции[orderNum],ТабПозиции[[#This Row],[orderNum]])),0),"")</f>
        <v>65</v>
      </c>
      <c r="Q925">
        <f>IF(OR(ТабПозиции[[#This Row],[item]]="По штрихкоду",ТабПозиции[[#This Row],[item]]="Посылка"),ТабПозиции[[#This Row],[deliverySumm]]+ТабПозиции[[#This Row],[deliveryPost]],SUM(N925:P925))</f>
        <v>497</v>
      </c>
      <c r="R925" s="41">
        <v>497</v>
      </c>
      <c r="S925" s="46">
        <f>ТабПозиции[[#This Row],[totalSumm]]-ТабПозиции[[#This Row],[payment]]</f>
        <v>0</v>
      </c>
      <c r="T925" s="18" t="s">
        <v>970</v>
      </c>
      <c r="U925" s="40" t="s">
        <v>545</v>
      </c>
      <c r="V925" s="40" t="s">
        <v>545</v>
      </c>
      <c r="W925" s="40" t="s">
        <v>545</v>
      </c>
      <c r="X925" s="3"/>
      <c r="Y925"/>
    </row>
    <row r="926" spans="1:25" hidden="1" x14ac:dyDescent="0.25">
      <c r="A926" s="10">
        <v>218</v>
      </c>
      <c r="B926" s="1">
        <f>IFERROR(VLOOKUP(ТабПозиции[[#This Row],[orderNum]],ТабЗаказы[#Data],MATCH(B$7,ТабЗаказы[#Headers],0),0),"")</f>
        <v>45559</v>
      </c>
      <c r="C926" t="str">
        <f>MONTH(ТабПозиции[[#This Row],[date]])&amp;"/"&amp;YEAR(ТабПозиции[[#This Row],[date]])</f>
        <v>9/2024</v>
      </c>
      <c r="D926" s="1" t="str">
        <f>IFERROR(VLOOKUP(ТабПозиции[[#This Row],[orderNum]],ТабЗаказы[#Data],MATCH(D$7,ТабЗаказы[#Headers],0),0),"")</f>
        <v/>
      </c>
      <c r="E926" s="1" t="str">
        <f>IFERROR(VLOOKUP(ТабПозиции[[#This Row],[orderNum]],ТабЗаказы[#Data],MATCH(E$7,ТабЗаказы[#Headers],0),0),"")</f>
        <v/>
      </c>
      <c r="F926" s="16" t="s">
        <v>1423</v>
      </c>
      <c r="G926" s="40" t="s">
        <v>545</v>
      </c>
      <c r="I926" s="18">
        <v>45561</v>
      </c>
      <c r="J926" s="10">
        <v>1</v>
      </c>
      <c r="K926" s="10">
        <v>478</v>
      </c>
      <c r="L926">
        <v>478</v>
      </c>
      <c r="M926" s="10">
        <v>504</v>
      </c>
      <c r="N926">
        <f t="shared" si="16"/>
        <v>504</v>
      </c>
      <c r="P9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Row],[orderNum]],ТабПозиции[orderSumm])&gt;1500),ABS(N926*VLOOKUP(ТабПозиции[[#This Row],[orderNum]],ТабЗаказы[#Data],MATCH("Percent",ТабЗаказы[#Headers],0),0))/100,200/COUNTIF(ТабПозиции[orderNum],ТабПозиции[[#This Row],[orderNum]])),0),"")</f>
        <v>76</v>
      </c>
      <c r="Q926">
        <f>IF(OR(ТабПозиции[[#This Row],[item]]="По штрихкоду",ТабПозиции[[#This Row],[item]]="Посылка"),ТабПозиции[[#This Row],[deliverySumm]]+ТабПозиции[[#This Row],[deliveryPost]],SUM(N926:P926))</f>
        <v>580</v>
      </c>
      <c r="R926" s="41">
        <v>580</v>
      </c>
      <c r="S926" s="46">
        <f>ТабПозиции[[#This Row],[totalSumm]]-ТабПозиции[[#This Row],[payment]]</f>
        <v>0</v>
      </c>
      <c r="T926" s="18" t="s">
        <v>970</v>
      </c>
      <c r="U926" s="40" t="s">
        <v>545</v>
      </c>
      <c r="V926" s="40" t="s">
        <v>545</v>
      </c>
      <c r="W926" s="40" t="s">
        <v>545</v>
      </c>
      <c r="X926" s="3"/>
      <c r="Y926"/>
    </row>
    <row r="927" spans="1:25" hidden="1" x14ac:dyDescent="0.25">
      <c r="A927" s="10">
        <v>218</v>
      </c>
      <c r="B927" s="1">
        <f>IFERROR(VLOOKUP(ТабПозиции[[#This Row],[orderNum]],ТабЗаказы[#Data],MATCH(B$7,ТабЗаказы[#Headers],0),0),"")</f>
        <v>45559</v>
      </c>
      <c r="C927" t="str">
        <f>MONTH(ТабПозиции[[#This Row],[date]])&amp;"/"&amp;YEAR(ТабПозиции[[#This Row],[date]])</f>
        <v>9/2024</v>
      </c>
      <c r="D927" s="1" t="str">
        <f>IFERROR(VLOOKUP(ТабПозиции[[#This Row],[orderNum]],ТабЗаказы[#Data],MATCH(D$7,ТабЗаказы[#Headers],0),0),"")</f>
        <v/>
      </c>
      <c r="E927" s="1" t="str">
        <f>IFERROR(VLOOKUP(ТабПозиции[[#This Row],[orderNum]],ТабЗаказы[#Data],MATCH(E$7,ТабЗаказы[#Headers],0),0),"")</f>
        <v/>
      </c>
      <c r="F927" s="16" t="s">
        <v>1424</v>
      </c>
      <c r="G927" s="40" t="s">
        <v>545</v>
      </c>
      <c r="I927" s="18">
        <v>45561</v>
      </c>
      <c r="J927" s="10">
        <v>2</v>
      </c>
      <c r="K927" s="10">
        <v>257</v>
      </c>
      <c r="L927">
        <v>514</v>
      </c>
      <c r="M927" s="10">
        <v>271</v>
      </c>
      <c r="N927">
        <f t="shared" si="16"/>
        <v>542</v>
      </c>
      <c r="P9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Row],[orderNum]],ТабПозиции[orderSumm])&gt;1500),ABS(N927*VLOOKUP(ТабПозиции[[#This Row],[orderNum]],ТабЗаказы[#Data],MATCH("Percent",ТабЗаказы[#Headers],0),0))/100,200/COUNTIF(ТабПозиции[orderNum],ТабПозиции[[#This Row],[orderNum]])),0),"")</f>
        <v>81</v>
      </c>
      <c r="Q927">
        <f>IF(OR(ТабПозиции[[#This Row],[item]]="По штрихкоду",ТабПозиции[[#This Row],[item]]="Посылка"),ТабПозиции[[#This Row],[deliverySumm]]+ТабПозиции[[#This Row],[deliveryPost]],SUM(N927:P927))</f>
        <v>623</v>
      </c>
      <c r="R927" s="41">
        <v>623</v>
      </c>
      <c r="S927" s="46">
        <f>ТабПозиции[[#This Row],[totalSumm]]-ТабПозиции[[#This Row],[payment]]</f>
        <v>0</v>
      </c>
      <c r="T927" s="18" t="s">
        <v>970</v>
      </c>
      <c r="U927" s="40" t="s">
        <v>545</v>
      </c>
      <c r="V927" s="40" t="s">
        <v>545</v>
      </c>
      <c r="W927" s="40" t="s">
        <v>545</v>
      </c>
      <c r="X927" s="3"/>
      <c r="Y927"/>
    </row>
    <row r="928" spans="1:25" hidden="1" x14ac:dyDescent="0.25">
      <c r="A928" s="10">
        <v>263</v>
      </c>
      <c r="B928" s="1">
        <f>IFERROR(VLOOKUP(ТабПозиции[[#This Row],[orderNum]],ТабЗаказы[#Data],MATCH(B$7,ТабЗаказы[#Headers],0),0),"")</f>
        <v>45560</v>
      </c>
      <c r="C928" t="str">
        <f>MONTH(ТабПозиции[[#This Row],[date]])&amp;"/"&amp;YEAR(ТабПозиции[[#This Row],[date]])</f>
        <v>9/2024</v>
      </c>
      <c r="D928" s="1" t="str">
        <f>IFERROR(VLOOKUP(ТабПозиции[[#This Row],[orderNum]],ТабЗаказы[#Data],MATCH(D$7,ТабЗаказы[#Headers],0),0),"")</f>
        <v/>
      </c>
      <c r="E928" s="1" t="str">
        <f>IFERROR(VLOOKUP(ТабПозиции[[#This Row],[orderNum]],ТабЗаказы[#Data],MATCH(E$7,ТабЗаказы[#Headers],0),0),"")</f>
        <v/>
      </c>
      <c r="F928" s="16" t="s">
        <v>1425</v>
      </c>
      <c r="G928" s="40" t="s">
        <v>545</v>
      </c>
      <c r="I928" s="18">
        <v>45566</v>
      </c>
      <c r="J928" s="10">
        <v>3</v>
      </c>
      <c r="K928" s="10">
        <v>466</v>
      </c>
      <c r="L928">
        <v>1398</v>
      </c>
      <c r="M928" s="10">
        <v>491</v>
      </c>
      <c r="N928">
        <f t="shared" si="16"/>
        <v>1473</v>
      </c>
      <c r="P9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Row],[orderNum]],ТабПозиции[orderSumm])&gt;1500),ABS(N928*VLOOKUP(ТабПозиции[[#This Row],[orderNum]],ТабЗаказы[#Data],MATCH("Percent",ТабЗаказы[#Headers],0),0))/100,200/COUNTIF(ТабПозиции[orderNum],ТабПозиции[[#This Row],[orderNum]])),0),"")</f>
        <v>147</v>
      </c>
      <c r="Q928">
        <f>IF(OR(ТабПозиции[[#This Row],[item]]="По штрихкоду",ТабПозиции[[#This Row],[item]]="Посылка"),ТабПозиции[[#This Row],[deliverySumm]]+ТабПозиции[[#This Row],[deliveryPost]],SUM(N928:P928))</f>
        <v>1620</v>
      </c>
      <c r="R928" s="41">
        <v>1620</v>
      </c>
      <c r="S928" s="46">
        <f>ТабПозиции[[#This Row],[totalSumm]]-ТабПозиции[[#This Row],[payment]]</f>
        <v>0</v>
      </c>
      <c r="T928" s="18" t="s">
        <v>970</v>
      </c>
      <c r="U928" s="40" t="s">
        <v>545</v>
      </c>
      <c r="V928" s="40" t="s">
        <v>545</v>
      </c>
      <c r="W928" s="40" t="s">
        <v>545</v>
      </c>
      <c r="X928" s="3"/>
      <c r="Y928"/>
    </row>
    <row r="929" spans="1:25" hidden="1" x14ac:dyDescent="0.25">
      <c r="A929" s="10">
        <v>263</v>
      </c>
      <c r="B929" s="1">
        <f>IFERROR(VLOOKUP(ТабПозиции[[#This Row],[orderNum]],ТабЗаказы[#Data],MATCH(B$7,ТабЗаказы[#Headers],0),0),"")</f>
        <v>45560</v>
      </c>
      <c r="C929" t="str">
        <f>MONTH(ТабПозиции[[#This Row],[date]])&amp;"/"&amp;YEAR(ТабПозиции[[#This Row],[date]])</f>
        <v>9/2024</v>
      </c>
      <c r="D929" s="1" t="str">
        <f>IFERROR(VLOOKUP(ТабПозиции[[#This Row],[orderNum]],ТабЗаказы[#Data],MATCH(D$7,ТабЗаказы[#Headers],0),0),"")</f>
        <v/>
      </c>
      <c r="E929" s="1" t="str">
        <f>IFERROR(VLOOKUP(ТабПозиции[[#This Row],[orderNum]],ТабЗаказы[#Data],MATCH(E$7,ТабЗаказы[#Headers],0),0),"")</f>
        <v/>
      </c>
      <c r="F929" s="16" t="s">
        <v>1426</v>
      </c>
      <c r="G929" s="40" t="s">
        <v>545</v>
      </c>
      <c r="I929" s="18">
        <v>45562</v>
      </c>
      <c r="J929" s="10">
        <v>1</v>
      </c>
      <c r="K929" s="10">
        <v>346</v>
      </c>
      <c r="L929">
        <v>346</v>
      </c>
      <c r="M929" s="10">
        <v>365</v>
      </c>
      <c r="N929">
        <f t="shared" si="16"/>
        <v>365</v>
      </c>
      <c r="P9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Row],[orderNum]],ТабПозиции[orderSumm])&gt;1500),ABS(N929*VLOOKUP(ТабПозиции[[#This Row],[orderNum]],ТабЗаказы[#Data],MATCH("Percent",ТабЗаказы[#Headers],0),0))/100,200/COUNTIF(ТабПозиции[orderNum],ТабПозиции[[#This Row],[orderNum]])),0),"")</f>
        <v>37</v>
      </c>
      <c r="Q929">
        <f>IF(OR(ТабПозиции[[#This Row],[item]]="По штрихкоду",ТабПозиции[[#This Row],[item]]="Посылка"),ТабПозиции[[#This Row],[deliverySumm]]+ТабПозиции[[#This Row],[deliveryPost]],SUM(N929:P929))</f>
        <v>402</v>
      </c>
      <c r="R929" s="41">
        <v>402</v>
      </c>
      <c r="S929" s="46">
        <f>ТабПозиции[[#This Row],[totalSumm]]-ТабПозиции[[#This Row],[payment]]</f>
        <v>0</v>
      </c>
      <c r="T929" s="18" t="s">
        <v>970</v>
      </c>
      <c r="U929" s="40" t="s">
        <v>545</v>
      </c>
      <c r="V929" s="40" t="s">
        <v>545</v>
      </c>
      <c r="W929" s="40" t="s">
        <v>545</v>
      </c>
      <c r="X929" s="3"/>
      <c r="Y929"/>
    </row>
    <row r="930" spans="1:25" hidden="1" x14ac:dyDescent="0.25">
      <c r="A930" s="10">
        <v>263</v>
      </c>
      <c r="B930" s="1">
        <f>IFERROR(VLOOKUP(ТабПозиции[[#This Row],[orderNum]],ТабЗаказы[#Data],MATCH(B$7,ТабЗаказы[#Headers],0),0),"")</f>
        <v>45560</v>
      </c>
      <c r="C930" t="str">
        <f>MONTH(ТабПозиции[[#This Row],[date]])&amp;"/"&amp;YEAR(ТабПозиции[[#This Row],[date]])</f>
        <v>9/2024</v>
      </c>
      <c r="D930" s="1" t="str">
        <f>IFERROR(VLOOKUP(ТабПозиции[[#This Row],[orderNum]],ТабЗаказы[#Data],MATCH(D$7,ТабЗаказы[#Headers],0),0),"")</f>
        <v/>
      </c>
      <c r="E930" s="1" t="str">
        <f>IFERROR(VLOOKUP(ТабПозиции[[#This Row],[orderNum]],ТабЗаказы[#Data],MATCH(E$7,ТабЗаказы[#Headers],0),0),"")</f>
        <v/>
      </c>
      <c r="F930" s="16" t="s">
        <v>1427</v>
      </c>
      <c r="G930" s="40" t="s">
        <v>545</v>
      </c>
      <c r="I930" s="18">
        <v>45562</v>
      </c>
      <c r="J930" s="10">
        <v>1</v>
      </c>
      <c r="K930" s="10">
        <v>179</v>
      </c>
      <c r="L930">
        <v>179</v>
      </c>
      <c r="M930" s="10">
        <v>189</v>
      </c>
      <c r="N930">
        <f t="shared" si="16"/>
        <v>189</v>
      </c>
      <c r="O930" s="10">
        <v>47</v>
      </c>
      <c r="P9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Row],[orderNum]],ТабПозиции[orderSumm])&gt;1500),ABS(N930*VLOOKUP(ТабПозиции[[#This Row],[orderNum]],ТабЗаказы[#Data],MATCH("Percent",ТабЗаказы[#Headers],0),0))/100,200/COUNTIF(ТабПозиции[orderNum],ТабПозиции[[#This Row],[orderNum]])),0),"")</f>
        <v>19</v>
      </c>
      <c r="Q930">
        <f>IF(OR(ТабПозиции[[#This Row],[item]]="По штрихкоду",ТабПозиции[[#This Row],[item]]="Посылка"),ТабПозиции[[#This Row],[deliverySumm]]+ТабПозиции[[#This Row],[deliveryPost]],SUM(N930:P930))</f>
        <v>255</v>
      </c>
      <c r="R930" s="41">
        <v>255</v>
      </c>
      <c r="S930" s="46">
        <f>ТабПозиции[[#This Row],[totalSumm]]-ТабПозиции[[#This Row],[payment]]</f>
        <v>0</v>
      </c>
      <c r="T930" s="18" t="s">
        <v>970</v>
      </c>
      <c r="U930" s="40" t="s">
        <v>545</v>
      </c>
      <c r="V930" s="40" t="s">
        <v>545</v>
      </c>
      <c r="W930" s="40" t="s">
        <v>545</v>
      </c>
      <c r="X930" s="3"/>
      <c r="Y930"/>
    </row>
    <row r="931" spans="1:25" hidden="1" x14ac:dyDescent="0.25">
      <c r="A931" s="10">
        <v>264</v>
      </c>
      <c r="B931" s="1">
        <f>IFERROR(VLOOKUP(ТабПозиции[[#This Row],[orderNum]],ТабЗаказы[#Data],MATCH(B$7,ТабЗаказы[#Headers],0),0),"")</f>
        <v>45560</v>
      </c>
      <c r="C931" t="str">
        <f>MONTH(ТабПозиции[[#This Row],[date]])&amp;"/"&amp;YEAR(ТабПозиции[[#This Row],[date]])</f>
        <v>9/2024</v>
      </c>
      <c r="D931" s="1" t="str">
        <f>IFERROR(VLOOKUP(ТабПозиции[[#This Row],[orderNum]],ТабЗаказы[#Data],MATCH(D$7,ТабЗаказы[#Headers],0),0),"")</f>
        <v/>
      </c>
      <c r="E931" s="1" t="str">
        <f>IFERROR(VLOOKUP(ТабПозиции[[#This Row],[orderNum]],ТабЗаказы[#Data],MATCH(E$7,ТабЗаказы[#Headers],0),0),"")</f>
        <v/>
      </c>
      <c r="F931" s="10" t="s">
        <v>715</v>
      </c>
      <c r="G931" s="40" t="s">
        <v>545</v>
      </c>
      <c r="I931" s="18">
        <v>45562</v>
      </c>
      <c r="J931" s="10">
        <v>1</v>
      </c>
      <c r="K931" s="10">
        <v>6900</v>
      </c>
      <c r="L931">
        <v>6900</v>
      </c>
      <c r="M931" s="10">
        <v>6900</v>
      </c>
      <c r="N931">
        <f t="shared" si="16"/>
        <v>6900</v>
      </c>
      <c r="O931" s="10">
        <f>339-170</f>
        <v>169</v>
      </c>
      <c r="P9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Row],[orderNum]],ТабПозиции[orderSumm])&gt;1500),ABS(N931*VLOOKUP(ТабПозиции[[#This Row],[orderNum]],ТабЗаказы[#Data],MATCH("Percent",ТабЗаказы[#Headers],0),0))/100,200/COUNTIF(ТабПозиции[orderNum],ТабПозиции[[#This Row],[orderNum]])),0),"")</f>
        <v>1035</v>
      </c>
      <c r="Q931">
        <f>IF(OR(ТабПозиции[[#This Row],[item]]="По штрихкоду",ТабПозиции[[#This Row],[item]]="Посылка"),ТабПозиции[[#This Row],[deliverySumm]]+ТабПозиции[[#This Row],[deliveryPost]],SUM(N931:P931))</f>
        <v>8104</v>
      </c>
      <c r="R931" s="41">
        <v>8104</v>
      </c>
      <c r="S931" s="46">
        <f>ТабПозиции[[#This Row],[totalSumm]]-ТабПозиции[[#This Row],[payment]]</f>
        <v>0</v>
      </c>
      <c r="T931" s="18" t="s">
        <v>1005</v>
      </c>
      <c r="U931" s="40" t="s">
        <v>545</v>
      </c>
      <c r="V931" s="40" t="s">
        <v>545</v>
      </c>
      <c r="W931" s="40" t="s">
        <v>545</v>
      </c>
      <c r="X931" s="3"/>
      <c r="Y931"/>
    </row>
    <row r="932" spans="1:25" hidden="1" x14ac:dyDescent="0.25">
      <c r="A932" s="10">
        <v>265</v>
      </c>
      <c r="B932" s="1">
        <f>IFERROR(VLOOKUP(ТабПозиции[[#This Row],[orderNum]],ТабЗаказы[#Data],MATCH(B$7,ТабЗаказы[#Headers],0),0),"")</f>
        <v>45562</v>
      </c>
      <c r="C932" t="str">
        <f>MONTH(ТабПозиции[[#This Row],[date]])&amp;"/"&amp;YEAR(ТабПозиции[[#This Row],[date]])</f>
        <v>9/2024</v>
      </c>
      <c r="D932" s="1" t="str">
        <f>IFERROR(VLOOKUP(ТабПозиции[[#This Row],[orderNum]],ТабЗаказы[#Data],MATCH(D$7,ТабЗаказы[#Headers],0),0),"")</f>
        <v/>
      </c>
      <c r="E932" s="1" t="str">
        <f>IFERROR(VLOOKUP(ТабПозиции[[#This Row],[orderNum]],ТабЗаказы[#Data],MATCH(E$7,ТабЗаказы[#Headers],0),0),"")</f>
        <v/>
      </c>
      <c r="F932" s="10" t="s">
        <v>32</v>
      </c>
      <c r="G932" s="40" t="s">
        <v>545</v>
      </c>
      <c r="I932" s="18">
        <v>45562</v>
      </c>
      <c r="J932" s="10">
        <v>1</v>
      </c>
      <c r="K932" s="10">
        <f>201*2+468+370</f>
        <v>1240</v>
      </c>
      <c r="L932">
        <v>1240</v>
      </c>
      <c r="M932" s="10">
        <v>1240</v>
      </c>
      <c r="N932">
        <f t="shared" si="16"/>
        <v>1240</v>
      </c>
      <c r="P9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Row],[orderNum]],ТабПозиции[orderSumm])&gt;1500),ABS(N932*VLOOKUP(ТабПозиции[[#This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932">
        <f>IF(OR(ТабПозиции[[#This Row],[item]]="По штрихкоду",ТабПозиции[[#This Row],[item]]="Посылка"),ТабПозиции[[#This Row],[deliverySumm]]+ТабПозиции[[#This Row],[deliveryPost]],SUM(N932:P932))</f>
        <v>200</v>
      </c>
      <c r="R932" s="41">
        <v>200</v>
      </c>
      <c r="S932" s="46">
        <f>ТабПозиции[[#This Row],[totalSumm]]-ТабПозиции[[#This Row],[payment]]</f>
        <v>0</v>
      </c>
      <c r="T932" s="18" t="s">
        <v>960</v>
      </c>
      <c r="U932" s="40" t="s">
        <v>545</v>
      </c>
      <c r="V932" s="40" t="s">
        <v>545</v>
      </c>
      <c r="W932" s="40" t="s">
        <v>545</v>
      </c>
      <c r="X932" s="3"/>
      <c r="Y932"/>
    </row>
    <row r="933" spans="1:25" hidden="1" x14ac:dyDescent="0.25">
      <c r="A933" s="10">
        <v>266</v>
      </c>
      <c r="B933" s="1">
        <f>IFERROR(VLOOKUP(ТабПозиции[[#This Row],[orderNum]],ТабЗаказы[#Data],MATCH(B$7,ТабЗаказы[#Headers],0),0),"")</f>
        <v>45562</v>
      </c>
      <c r="C933" t="str">
        <f>MONTH(ТабПозиции[[#This Row],[date]])&amp;"/"&amp;YEAR(ТабПозиции[[#This Row],[date]])</f>
        <v>9/2024</v>
      </c>
      <c r="D933" s="1" t="str">
        <f>IFERROR(VLOOKUP(ТабПозиции[[#This Row],[orderNum]],ТабЗаказы[#Data],MATCH(D$7,ТабЗаказы[#Headers],0),0),"")</f>
        <v/>
      </c>
      <c r="E933" s="1" t="str">
        <f>IFERROR(VLOOKUP(ТабПозиции[[#This Row],[orderNum]],ТабЗаказы[#Data],MATCH(E$7,ТабЗаказы[#Headers],0),0),"")</f>
        <v/>
      </c>
      <c r="F933" s="10" t="s">
        <v>32</v>
      </c>
      <c r="G933" s="40" t="s">
        <v>545</v>
      </c>
      <c r="I933" s="18">
        <v>45562</v>
      </c>
      <c r="J933" s="10">
        <v>1</v>
      </c>
      <c r="K933" s="10">
        <f>525</f>
        <v>525</v>
      </c>
      <c r="L933">
        <v>525</v>
      </c>
      <c r="M933" s="10">
        <f>525</f>
        <v>525</v>
      </c>
      <c r="N933">
        <f t="shared" si="16"/>
        <v>525</v>
      </c>
      <c r="O933" s="10">
        <v>200</v>
      </c>
      <c r="P9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Row],[orderNum]],ТабПозиции[orderSumm])&gt;1500),ABS(N933*VLOOKUP(ТабПозиции[[#This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933">
        <f>IF(OR(ТабПозиции[[#This Row],[item]]="По штрихкоду",ТабПозиции[[#This Row],[item]]="Посылка"),ТабПозиции[[#This Row],[deliverySumm]]+ТабПозиции[[#This Row],[deliveryPost]],SUM(N933:P933))</f>
        <v>400</v>
      </c>
      <c r="R933" s="41">
        <v>400</v>
      </c>
      <c r="S933" s="46">
        <f>ТабПозиции[[#This Row],[totalSumm]]-ТабПозиции[[#This Row],[payment]]</f>
        <v>0</v>
      </c>
      <c r="T933" s="18" t="s">
        <v>960</v>
      </c>
      <c r="U933" s="40" t="s">
        <v>545</v>
      </c>
      <c r="V933" s="40" t="s">
        <v>545</v>
      </c>
      <c r="W933" s="40" t="s">
        <v>545</v>
      </c>
      <c r="X933" s="3"/>
      <c r="Y933"/>
    </row>
    <row r="934" spans="1:25" hidden="1" x14ac:dyDescent="0.25">
      <c r="A934" s="10">
        <v>268</v>
      </c>
      <c r="B934" s="1">
        <f>IFERROR(VLOOKUP(ТабПозиции[[#This Row],[orderNum]],ТабЗаказы[#Data],MATCH(B$7,ТабЗаказы[#Headers],0),0),"")</f>
        <v>45562</v>
      </c>
      <c r="C934" t="str">
        <f>MONTH(ТабПозиции[[#This Row],[date]])&amp;"/"&amp;YEAR(ТабПозиции[[#This Row],[date]])</f>
        <v>9/2024</v>
      </c>
      <c r="D934" s="1" t="str">
        <f>IFERROR(VLOOKUP(ТабПозиции[[#This Row],[orderNum]],ТабЗаказы[#Data],MATCH(D$7,ТабЗаказы[#Headers],0),0),"")</f>
        <v/>
      </c>
      <c r="E934" s="1" t="str">
        <f>IFERROR(VLOOKUP(ТабПозиции[[#This Row],[orderNum]],ТабЗаказы[#Data],MATCH(E$7,ТабЗаказы[#Headers],0),0),"")</f>
        <v/>
      </c>
      <c r="F934" s="10" t="s">
        <v>32</v>
      </c>
      <c r="G934" s="40" t="s">
        <v>545</v>
      </c>
      <c r="I934" s="18">
        <v>45562</v>
      </c>
      <c r="J934" s="10">
        <v>1</v>
      </c>
      <c r="K934" s="10">
        <v>2674</v>
      </c>
      <c r="L934">
        <v>2674</v>
      </c>
      <c r="M934" s="10">
        <v>2674</v>
      </c>
      <c r="N934">
        <f t="shared" si="16"/>
        <v>2674</v>
      </c>
      <c r="P9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Row],[orderNum]],ТабПозиции[orderSumm])&gt;1500),ABS(N934*VLOOKUP(ТабПозиции[[#This Row],[orderNum]],ТабЗаказы[#Data],MATCH("Percent",ТабЗаказы[#Headers],0),0))/100,200/COUNTIF(ТабПозиции[orderNum],ТабПозиции[[#This Row],[orderNum]])),0),"")</f>
        <v>267</v>
      </c>
      <c r="Q934">
        <f>IF(OR(ТабПозиции[[#This Row],[item]]="По штрихкоду",ТабПозиции[[#This Row],[item]]="Посылка"),ТабПозиции[[#This Row],[deliverySumm]]+ТабПозиции[[#This Row],[deliveryPost]],SUM(N934:P934))</f>
        <v>267</v>
      </c>
      <c r="R934" s="41">
        <v>270</v>
      </c>
      <c r="S934" s="46">
        <f>ТабПозиции[[#This Row],[totalSumm]]-ТабПозиции[[#This Row],[payment]]</f>
        <v>-3</v>
      </c>
      <c r="T934" s="18" t="s">
        <v>960</v>
      </c>
      <c r="U934" s="40" t="s">
        <v>545</v>
      </c>
      <c r="V934" s="40" t="s">
        <v>545</v>
      </c>
      <c r="W934" s="40" t="s">
        <v>545</v>
      </c>
      <c r="X934" s="3"/>
      <c r="Y934"/>
    </row>
    <row r="935" spans="1:25" hidden="1" x14ac:dyDescent="0.25">
      <c r="A935" s="10">
        <v>269</v>
      </c>
      <c r="B935" s="1">
        <f>IFERROR(VLOOKUP(ТабПозиции[[#This Row],[orderNum]],ТабЗаказы[#Data],MATCH(B$7,ТабЗаказы[#Headers],0),0),"")</f>
        <v>45562</v>
      </c>
      <c r="C935" t="str">
        <f>MONTH(ТабПозиции[[#This Row],[date]])&amp;"/"&amp;YEAR(ТабПозиции[[#This Row],[date]])</f>
        <v>9/2024</v>
      </c>
      <c r="D935" s="1" t="str">
        <f>IFERROR(VLOOKUP(ТабПозиции[[#This Row],[orderNum]],ТабЗаказы[#Data],MATCH(D$7,ТабЗаказы[#Headers],0),0),"")</f>
        <v/>
      </c>
      <c r="E935" s="1" t="str">
        <f>IFERROR(VLOOKUP(ТабПозиции[[#This Row],[orderNum]],ТабЗаказы[#Data],MATCH(E$7,ТабЗаказы[#Headers],0),0),"")</f>
        <v/>
      </c>
      <c r="F935" s="10" t="s">
        <v>32</v>
      </c>
      <c r="G935" s="40" t="s">
        <v>545</v>
      </c>
      <c r="I935" s="18">
        <v>45562</v>
      </c>
      <c r="J935" s="10">
        <v>1</v>
      </c>
      <c r="K935" s="10">
        <f>524+367+943+484+1537+179+197+197</f>
        <v>4428</v>
      </c>
      <c r="L935">
        <v>4428</v>
      </c>
      <c r="M935" s="10">
        <f>524+367+943+484+1537+179+197+197</f>
        <v>4428</v>
      </c>
      <c r="N935">
        <f t="shared" si="16"/>
        <v>4428</v>
      </c>
      <c r="P9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Row],[orderNum]],ТабПозиции[orderSumm])&gt;1500),ABS(N935*VLOOKUP(ТабПозиции[[#This Row],[orderNum]],ТабЗаказы[#Data],MATCH("Percent",ТабЗаказы[#Headers],0),0))/100,200/COUNTIF(ТабПозиции[orderNum],ТабПозиции[[#This Row],[orderNum]])),0),"")</f>
        <v>664</v>
      </c>
      <c r="Q935">
        <f>IF(OR(ТабПозиции[[#This Row],[item]]="По штрихкоду",ТабПозиции[[#This Row],[item]]="Посылка"),ТабПозиции[[#This Row],[deliverySumm]]+ТабПозиции[[#This Row],[deliveryPost]],SUM(N935:P935))</f>
        <v>664</v>
      </c>
      <c r="R935" s="41">
        <v>664</v>
      </c>
      <c r="S935" s="46">
        <f>ТабПозиции[[#This Row],[totalSumm]]-ТабПозиции[[#This Row],[payment]]</f>
        <v>0</v>
      </c>
      <c r="T935" s="18" t="s">
        <v>960</v>
      </c>
      <c r="U935" s="40" t="s">
        <v>545</v>
      </c>
      <c r="V935" s="40" t="s">
        <v>545</v>
      </c>
      <c r="W935" s="40" t="s">
        <v>545</v>
      </c>
      <c r="X935" s="3"/>
      <c r="Y935"/>
    </row>
    <row r="936" spans="1:25" hidden="1" x14ac:dyDescent="0.25">
      <c r="A936" s="10">
        <v>256</v>
      </c>
      <c r="B936" s="1">
        <f>IFERROR(VLOOKUP(ТабПозиции[[#This Row],[orderNum]],ТабЗаказы[#Data],MATCH(B$7,ТабЗаказы[#Headers],0),0),"")</f>
        <v>45552</v>
      </c>
      <c r="C936" t="str">
        <f>MONTH(ТабПозиции[[#This Row],[date]])&amp;"/"&amp;YEAR(ТабПозиции[[#This Row],[date]])</f>
        <v>9/2024</v>
      </c>
      <c r="D936" s="1" t="str">
        <f>IFERROR(VLOOKUP(ТабПозиции[[#This Row],[orderNum]],ТабЗаказы[#Data],MATCH(D$7,ТабЗаказы[#Headers],0),0),"")</f>
        <v/>
      </c>
      <c r="E936" s="1" t="str">
        <f>IFERROR(VLOOKUP(ТабПозиции[[#This Row],[orderNum]],ТабЗаказы[#Data],MATCH(E$7,ТабЗаказы[#Headers],0),0),"")</f>
        <v/>
      </c>
      <c r="F936" s="10" t="s">
        <v>820</v>
      </c>
      <c r="G936" s="40" t="s">
        <v>545</v>
      </c>
      <c r="H936" s="31" t="s">
        <v>1433</v>
      </c>
      <c r="I936" s="18">
        <v>45562</v>
      </c>
      <c r="J936" s="10">
        <v>1</v>
      </c>
      <c r="K936" s="10">
        <v>15450</v>
      </c>
      <c r="L936">
        <v>15450</v>
      </c>
      <c r="M936" s="10">
        <v>15450</v>
      </c>
      <c r="N936">
        <f t="shared" si="16"/>
        <v>15450</v>
      </c>
      <c r="P9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Row],[orderNum]],ТабПозиции[orderSumm])&gt;1500),ABS(N936*VLOOKUP(ТабПозиции[[#This Row],[orderNum]],ТабЗаказы[#Data],MATCH("Percent",ТабЗаказы[#Headers],0),0))/100,200/COUNTIF(ТабПозиции[orderNum],ТабПозиции[[#This Row],[orderNum]])),0),"")</f>
        <v>1545</v>
      </c>
      <c r="Q936">
        <f>IF(OR(ТабПозиции[[#This Row],[item]]="По штрихкоду",ТабПозиции[[#This Row],[item]]="Посылка"),ТабПозиции[[#This Row],[deliverySumm]]+ТабПозиции[[#This Row],[deliveryPost]],SUM(N936:P936))</f>
        <v>1545</v>
      </c>
      <c r="R936" s="41">
        <v>1545</v>
      </c>
      <c r="S936" s="46">
        <f>ТабПозиции[[#This Row],[totalSumm]]-ТабПозиции[[#This Row],[payment]]</f>
        <v>0</v>
      </c>
      <c r="T936" s="18" t="s">
        <v>1021</v>
      </c>
      <c r="U936" s="40" t="s">
        <v>545</v>
      </c>
      <c r="V936" s="40" t="s">
        <v>545</v>
      </c>
      <c r="W936" s="40" t="s">
        <v>545</v>
      </c>
      <c r="X936" s="3"/>
      <c r="Y936"/>
    </row>
    <row r="937" spans="1:25" hidden="1" x14ac:dyDescent="0.25">
      <c r="A937" s="10">
        <v>274</v>
      </c>
      <c r="B937" s="1">
        <f>IFERROR(VLOOKUP(ТабПозиции[[#This Row],[orderNum]],ТабЗаказы[#Data],MATCH(B$7,ТабЗаказы[#Headers],0),0),"")</f>
        <v>45569</v>
      </c>
      <c r="C937" t="str">
        <f>MONTH(ТабПозиции[[#This Row],[date]])&amp;"/"&amp;YEAR(ТабПозиции[[#This Row],[date]])</f>
        <v>10/2024</v>
      </c>
      <c r="D937" s="1" t="str">
        <f>IFERROR(VLOOKUP(ТабПозиции[[#This Row],[orderNum]],ТабЗаказы[#Data],MATCH(D$7,ТабЗаказы[#Headers],0),0),"")</f>
        <v/>
      </c>
      <c r="E937" s="1" t="str">
        <f>IFERROR(VLOOKUP(ТабПозиции[[#This Row],[orderNum]],ТабЗаказы[#Data],MATCH(E$7,ТабЗаказы[#Headers],0),0),"")</f>
        <v/>
      </c>
      <c r="F937" s="10" t="s">
        <v>820</v>
      </c>
      <c r="G937" s="40" t="s">
        <v>545</v>
      </c>
      <c r="H937" s="12" t="s">
        <v>1434</v>
      </c>
      <c r="I937" s="18">
        <v>45569</v>
      </c>
      <c r="J937" s="10">
        <v>1</v>
      </c>
      <c r="K937" s="10">
        <v>30000</v>
      </c>
      <c r="L937">
        <v>30000</v>
      </c>
      <c r="M937" s="10">
        <v>30000</v>
      </c>
      <c r="N937">
        <f t="shared" si="16"/>
        <v>30000</v>
      </c>
      <c r="O937" s="10">
        <v>200</v>
      </c>
      <c r="P9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Row],[orderNum]],ТабПозиции[orderSumm])&gt;1500),ABS(N937*VLOOKUP(ТабПозиции[[#This Row],[orderNum]],ТабЗаказы[#Data],MATCH("Percent",ТабЗаказы[#Headers],0),0))/100,200/COUNTIF(ТабПозиции[orderNum],ТабПозиции[[#This Row],[orderNum]])),0),"")</f>
        <v>3000</v>
      </c>
      <c r="Q937">
        <f>IF(OR(ТабПозиции[[#This Row],[item]]="По штрихкоду",ТабПозиции[[#This Row],[item]]="Посылка"),ТабПозиции[[#This Row],[deliverySumm]]+ТабПозиции[[#This Row],[deliveryPost]],SUM(N937:P937))</f>
        <v>3200</v>
      </c>
      <c r="R937" s="41">
        <v>3200</v>
      </c>
      <c r="S937" s="46">
        <f>ТабПозиции[[#This Row],[totalSumm]]-ТабПозиции[[#This Row],[payment]]</f>
        <v>0</v>
      </c>
      <c r="T937" s="18" t="s">
        <v>1021</v>
      </c>
      <c r="U937" s="40" t="s">
        <v>545</v>
      </c>
      <c r="V937" s="40" t="s">
        <v>545</v>
      </c>
      <c r="W937" s="40" t="s">
        <v>545</v>
      </c>
      <c r="X937" s="3"/>
      <c r="Y937"/>
    </row>
    <row r="938" spans="1:25" hidden="1" x14ac:dyDescent="0.25">
      <c r="A938" s="10">
        <v>270</v>
      </c>
      <c r="B938" s="1">
        <f>IFERROR(VLOOKUP(ТабПозиции[[#This Row],[orderNum]],ТабЗаказы[#Data],MATCH(B$7,ТабЗаказы[#Headers],0),0),"")</f>
        <v>45563</v>
      </c>
      <c r="C938" t="str">
        <f>MONTH(ТабПозиции[[#This Row],[date]])&amp;"/"&amp;YEAR(ТабПозиции[[#This Row],[date]])</f>
        <v>9/2024</v>
      </c>
      <c r="D938" s="1" t="str">
        <f>IFERROR(VLOOKUP(ТабПозиции[[#This Row],[orderNum]],ТабЗаказы[#Data],MATCH(D$7,ТабЗаказы[#Headers],0),0),"")</f>
        <v/>
      </c>
      <c r="E938" s="1" t="str">
        <f>IFERROR(VLOOKUP(ТабПозиции[[#This Row],[orderNum]],ТабЗаказы[#Data],MATCH(E$7,ТабЗаказы[#Headers],0),0),"")</f>
        <v/>
      </c>
      <c r="F938" s="16" t="s">
        <v>1435</v>
      </c>
      <c r="G938" s="40" t="s">
        <v>545</v>
      </c>
      <c r="I938" s="18">
        <v>45566</v>
      </c>
      <c r="J938" s="10">
        <v>1</v>
      </c>
      <c r="K938" s="10">
        <v>313</v>
      </c>
      <c r="L938">
        <v>313</v>
      </c>
      <c r="M938" s="10">
        <v>330</v>
      </c>
      <c r="N938">
        <f t="shared" si="16"/>
        <v>330</v>
      </c>
      <c r="P9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Row],[orderNum]],ТабПозиции[orderSumm])&gt;1500),ABS(N938*VLOOKUP(ТабПозиции[[#This Row],[orderNum]],ТабЗаказы[#Data],MATCH("Percent",ТабЗаказы[#Headers],0),0))/100,200/COUNTIF(ТабПозиции[orderNum],ТабПозиции[[#This Row],[orderNum]])),0),"")</f>
        <v>50</v>
      </c>
      <c r="Q938">
        <f>IF(OR(ТабПозиции[[#This Row],[item]]="По штрихкоду",ТабПозиции[[#This Row],[item]]="Посылка"),ТабПозиции[[#This Row],[deliverySumm]]+ТабПозиции[[#This Row],[deliveryPost]],SUM(N938:P938))</f>
        <v>380</v>
      </c>
      <c r="R938" s="41">
        <v>380</v>
      </c>
      <c r="S938" s="46">
        <f>ТабПозиции[[#This Row],[totalSumm]]-ТабПозиции[[#This Row],[payment]]</f>
        <v>0</v>
      </c>
      <c r="T938" s="18" t="s">
        <v>970</v>
      </c>
      <c r="U938" s="40" t="s">
        <v>545</v>
      </c>
      <c r="V938" s="40" t="s">
        <v>545</v>
      </c>
      <c r="W938" s="40" t="s">
        <v>545</v>
      </c>
      <c r="X938" s="3"/>
      <c r="Y938"/>
    </row>
    <row r="939" spans="1:25" hidden="1" x14ac:dyDescent="0.25">
      <c r="A939" s="10">
        <v>270</v>
      </c>
      <c r="B939" s="1">
        <f>IFERROR(VLOOKUP(ТабПозиции[[#This Row],[orderNum]],ТабЗаказы[#Data],MATCH(B$7,ТабЗаказы[#Headers],0),0),"")</f>
        <v>45563</v>
      </c>
      <c r="C939" t="str">
        <f>MONTH(ТабПозиции[[#This Row],[date]])&amp;"/"&amp;YEAR(ТабПозиции[[#This Row],[date]])</f>
        <v>9/2024</v>
      </c>
      <c r="D939" s="1" t="str">
        <f>IFERROR(VLOOKUP(ТабПозиции[[#This Row],[orderNum]],ТабЗаказы[#Data],MATCH(D$7,ТабЗаказы[#Headers],0),0),"")</f>
        <v/>
      </c>
      <c r="E939" s="1" t="str">
        <f>IFERROR(VLOOKUP(ТабПозиции[[#This Row],[orderNum]],ТабЗаказы[#Data],MATCH(E$7,ТабЗаказы[#Headers],0),0),"")</f>
        <v/>
      </c>
      <c r="F939" s="16" t="s">
        <v>1436</v>
      </c>
      <c r="G939" s="40" t="s">
        <v>545</v>
      </c>
      <c r="I939" s="18">
        <v>45566</v>
      </c>
      <c r="J939" s="10">
        <v>1</v>
      </c>
      <c r="K939" s="10">
        <v>960</v>
      </c>
      <c r="L939">
        <v>960</v>
      </c>
      <c r="M939" s="10">
        <v>1011</v>
      </c>
      <c r="N939">
        <f t="shared" si="16"/>
        <v>1011</v>
      </c>
      <c r="P9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Row],[orderNum]],ТабПозиции[orderSumm])&gt;1500),ABS(N939*VLOOKUP(ТабПозиции[[#This Row],[orderNum]],ТабЗаказы[#Data],MATCH("Percent",ТабЗаказы[#Headers],0),0))/100,200/COUNTIF(ТабПозиции[orderNum],ТабПозиции[[#This Row],[orderNum]])),0),"")</f>
        <v>152</v>
      </c>
      <c r="Q939">
        <f>IF(OR(ТабПозиции[[#This Row],[item]]="По штрихкоду",ТабПозиции[[#This Row],[item]]="Посылка"),ТабПозиции[[#This Row],[deliverySumm]]+ТабПозиции[[#This Row],[deliveryPost]],SUM(N939:P939))</f>
        <v>1163</v>
      </c>
      <c r="R939" s="41">
        <v>1163</v>
      </c>
      <c r="S939" s="46">
        <f>ТабПозиции[[#This Row],[totalSumm]]-ТабПозиции[[#This Row],[payment]]</f>
        <v>0</v>
      </c>
      <c r="T939" s="18" t="s">
        <v>970</v>
      </c>
      <c r="U939" s="40" t="s">
        <v>545</v>
      </c>
      <c r="V939" s="40" t="s">
        <v>545</v>
      </c>
      <c r="W939" s="40" t="s">
        <v>545</v>
      </c>
      <c r="X939" s="3"/>
      <c r="Y939"/>
    </row>
    <row r="940" spans="1:25" hidden="1" x14ac:dyDescent="0.25">
      <c r="A940" s="10">
        <v>270</v>
      </c>
      <c r="B940" s="1">
        <f>IFERROR(VLOOKUP(ТабПозиции[[#This Row],[orderNum]],ТабЗаказы[#Data],MATCH(B$7,ТабЗаказы[#Headers],0),0),"")</f>
        <v>45563</v>
      </c>
      <c r="C940" t="str">
        <f>MONTH(ТабПозиции[[#This Row],[date]])&amp;"/"&amp;YEAR(ТабПозиции[[#This Row],[date]])</f>
        <v>9/2024</v>
      </c>
      <c r="D940" s="1" t="str">
        <f>IFERROR(VLOOKUP(ТабПозиции[[#This Row],[orderNum]],ТабЗаказы[#Data],MATCH(D$7,ТабЗаказы[#Headers],0),0),"")</f>
        <v/>
      </c>
      <c r="E940" s="1" t="str">
        <f>IFERROR(VLOOKUP(ТабПозиции[[#This Row],[orderNum]],ТабЗаказы[#Data],MATCH(E$7,ТабЗаказы[#Headers],0),0),"")</f>
        <v/>
      </c>
      <c r="F940" s="16" t="s">
        <v>1437</v>
      </c>
      <c r="G940" s="40" t="s">
        <v>545</v>
      </c>
      <c r="I940" s="18">
        <v>45565</v>
      </c>
      <c r="J940" s="10">
        <v>1</v>
      </c>
      <c r="K940" s="10">
        <v>544</v>
      </c>
      <c r="L940">
        <v>544</v>
      </c>
      <c r="M940" s="10">
        <v>573</v>
      </c>
      <c r="N940">
        <f t="shared" si="16"/>
        <v>573</v>
      </c>
      <c r="P9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Row],[orderNum]],ТабПозиции[orderSumm])&gt;1500),ABS(N940*VLOOKUP(ТабПозиции[[#This Row],[orderNum]],ТабЗаказы[#Data],MATCH("Percent",ТабЗаказы[#Headers],0),0))/100,200/COUNTIF(ТабПозиции[orderNum],ТабПозиции[[#This Row],[orderNum]])),0),"")</f>
        <v>86</v>
      </c>
      <c r="Q940">
        <f>IF(OR(ТабПозиции[[#This Row],[item]]="По штрихкоду",ТабПозиции[[#This Row],[item]]="Посылка"),ТабПозиции[[#This Row],[deliverySumm]]+ТабПозиции[[#This Row],[deliveryPost]],SUM(N940:P940))</f>
        <v>659</v>
      </c>
      <c r="R940" s="41">
        <v>659</v>
      </c>
      <c r="S940" s="46">
        <f>ТабПозиции[[#This Row],[totalSumm]]-ТабПозиции[[#This Row],[payment]]</f>
        <v>0</v>
      </c>
      <c r="T940" s="18" t="s">
        <v>970</v>
      </c>
      <c r="U940" s="40" t="s">
        <v>545</v>
      </c>
      <c r="V940" s="40" t="s">
        <v>545</v>
      </c>
      <c r="W940" s="40" t="s">
        <v>545</v>
      </c>
      <c r="X940" s="3"/>
      <c r="Y940"/>
    </row>
    <row r="941" spans="1:25" hidden="1" x14ac:dyDescent="0.25">
      <c r="A941" s="10">
        <v>270</v>
      </c>
      <c r="B941" s="1">
        <f>IFERROR(VLOOKUP(ТабПозиции[[#This Row],[orderNum]],ТабЗаказы[#Data],MATCH(B$7,ТабЗаказы[#Headers],0),0),"")</f>
        <v>45563</v>
      </c>
      <c r="C941" t="str">
        <f>MONTH(ТабПозиции[[#This Row],[date]])&amp;"/"&amp;YEAR(ТабПозиции[[#This Row],[date]])</f>
        <v>9/2024</v>
      </c>
      <c r="D941" s="1" t="str">
        <f>IFERROR(VLOOKUP(ТабПозиции[[#This Row],[orderNum]],ТабЗаказы[#Data],MATCH(D$7,ТабЗаказы[#Headers],0),0),"")</f>
        <v/>
      </c>
      <c r="E941" s="1" t="str">
        <f>IFERROR(VLOOKUP(ТабПозиции[[#This Row],[orderNum]],ТабЗаказы[#Data],MATCH(E$7,ТабЗаказы[#Headers],0),0),"")</f>
        <v/>
      </c>
      <c r="F941" s="16" t="s">
        <v>1438</v>
      </c>
      <c r="G941" s="40" t="s">
        <v>545</v>
      </c>
      <c r="I941" s="18">
        <v>45565</v>
      </c>
      <c r="J941" s="10">
        <v>1</v>
      </c>
      <c r="K941" s="10">
        <v>1267</v>
      </c>
      <c r="L941">
        <v>1267</v>
      </c>
      <c r="M941" s="10">
        <v>1334</v>
      </c>
      <c r="N941">
        <f t="shared" si="16"/>
        <v>1334</v>
      </c>
      <c r="P9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Row],[orderNum]],ТабПозиции[orderSumm])&gt;1500),ABS(N941*VLOOKUP(ТабПозиции[[#This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941">
        <f>IF(OR(ТабПозиции[[#This Row],[item]]="По штрихкоду",ТабПозиции[[#This Row],[item]]="Посылка"),ТабПозиции[[#This Row],[deliverySumm]]+ТабПозиции[[#This Row],[deliveryPost]],SUM(N941:P941))</f>
        <v>1534</v>
      </c>
      <c r="R941" s="41">
        <v>1534</v>
      </c>
      <c r="S941" s="46">
        <f>ТабПозиции[[#This Row],[totalSumm]]-ТабПозиции[[#This Row],[payment]]</f>
        <v>0</v>
      </c>
      <c r="T941" s="18" t="s">
        <v>970</v>
      </c>
      <c r="U941" s="40" t="s">
        <v>545</v>
      </c>
      <c r="V941" s="40" t="s">
        <v>545</v>
      </c>
      <c r="W941" s="40" t="s">
        <v>545</v>
      </c>
      <c r="X941" s="3"/>
      <c r="Y941"/>
    </row>
    <row r="942" spans="1:25" hidden="1" x14ac:dyDescent="0.25">
      <c r="A942" s="10">
        <v>271</v>
      </c>
      <c r="B942" s="1">
        <f>IFERROR(VLOOKUP(ТабПозиции[[#This Row],[orderNum]],ТабЗаказы[#Data],MATCH(B$7,ТабЗаказы[#Headers],0),0),"")</f>
        <v>45565</v>
      </c>
      <c r="C942" t="str">
        <f>MONTH(ТабПозиции[[#This Row],[date]])&amp;"/"&amp;YEAR(ТабПозиции[[#This Row],[date]])</f>
        <v>9/2024</v>
      </c>
      <c r="D942" s="1" t="str">
        <f>IFERROR(VLOOKUP(ТабПозиции[[#This Row],[orderNum]],ТабЗаказы[#Data],MATCH(D$7,ТабЗаказы[#Headers],0),0),"")</f>
        <v/>
      </c>
      <c r="E942" s="1" t="str">
        <f>IFERROR(VLOOKUP(ТабПозиции[[#This Row],[orderNum]],ТабЗаказы[#Data],MATCH(E$7,ТабЗаказы[#Headers],0),0),"")</f>
        <v/>
      </c>
      <c r="F942" s="32" t="s">
        <v>1443</v>
      </c>
      <c r="G942" s="40" t="s">
        <v>545</v>
      </c>
      <c r="I942" s="18">
        <v>45568</v>
      </c>
      <c r="J942" s="10">
        <v>0</v>
      </c>
      <c r="K942" s="10">
        <v>260</v>
      </c>
      <c r="L942">
        <v>0</v>
      </c>
      <c r="M942" s="10">
        <v>265</v>
      </c>
      <c r="N942">
        <f t="shared" si="16"/>
        <v>0</v>
      </c>
      <c r="P9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Row],[orderNum]],ТабПозиции[orderSumm])&gt;1500),ABS(N942*VLOOKUP(ТабПозиции[[#This Row],[orderNum]],ТабЗаказы[#Data],MATCH("Percent",ТабЗаказы[#Headers],0),0))/100,200/COUNTIF(ТабПозиции[orderNum],ТабПозиции[[#This Row],[orderNum]])),0),"")</f>
        <v>0</v>
      </c>
      <c r="Q942">
        <f>IF(OR(ТабПозиции[[#This Row],[item]]="По штрихкоду",ТабПозиции[[#This Row],[item]]="Посылка"),ТабПозиции[[#This Row],[deliverySumm]]+ТабПозиции[[#This Row],[deliveryPost]],SUM(N942:P942))</f>
        <v>0</v>
      </c>
      <c r="R942" s="41">
        <v>0</v>
      </c>
      <c r="S942" s="46">
        <f>ТабПозиции[[#This Row],[totalSumm]]-ТабПозиции[[#This Row],[payment]]</f>
        <v>0</v>
      </c>
      <c r="T942" s="18" t="s">
        <v>960</v>
      </c>
      <c r="U942" s="40" t="s">
        <v>545</v>
      </c>
      <c r="V942" s="40" t="s">
        <v>545</v>
      </c>
      <c r="W942" s="40" t="s">
        <v>545</v>
      </c>
      <c r="X942" s="3"/>
      <c r="Y942"/>
    </row>
    <row r="943" spans="1:25" hidden="1" x14ac:dyDescent="0.25">
      <c r="A943" s="10">
        <v>271</v>
      </c>
      <c r="B943" s="1">
        <f>IFERROR(VLOOKUP(ТабПозиции[[#This Row],[orderNum]],ТабЗаказы[#Data],MATCH(B$7,ТабЗаказы[#Headers],0),0),"")</f>
        <v>45565</v>
      </c>
      <c r="C943" t="str">
        <f>MONTH(ТабПозиции[[#This Row],[date]])&amp;"/"&amp;YEAR(ТабПозиции[[#This Row],[date]])</f>
        <v>9/2024</v>
      </c>
      <c r="D943" s="1" t="str">
        <f>IFERROR(VLOOKUP(ТабПозиции[[#This Row],[orderNum]],ТабЗаказы[#Data],MATCH(D$7,ТабЗаказы[#Headers],0),0),"")</f>
        <v/>
      </c>
      <c r="E943" s="1" t="str">
        <f>IFERROR(VLOOKUP(ТабПозиции[[#This Row],[orderNum]],ТабЗаказы[#Data],MATCH(E$7,ТабЗаказы[#Headers],0),0),"")</f>
        <v/>
      </c>
      <c r="F943" s="16" t="s">
        <v>1444</v>
      </c>
      <c r="G943" s="40" t="s">
        <v>545</v>
      </c>
      <c r="I943" s="18">
        <v>45567</v>
      </c>
      <c r="J943" s="10">
        <v>1</v>
      </c>
      <c r="K943" s="10">
        <v>292</v>
      </c>
      <c r="L943">
        <v>292</v>
      </c>
      <c r="M943" s="10">
        <v>308</v>
      </c>
      <c r="N943">
        <f t="shared" si="16"/>
        <v>308</v>
      </c>
      <c r="P9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Row],[orderNum]],ТабПозиции[orderSumm])&gt;1500),ABS(N943*VLOOKUP(ТабПозиции[[#This Row],[orderNum]],ТабЗаказы[#Data],MATCH("Percent",ТабЗаказы[#Headers],0),0))/100,200/COUNTIF(ТабПозиции[orderNum],ТабПозиции[[#This Row],[orderNum]])),0),"")</f>
        <v>46</v>
      </c>
      <c r="Q943">
        <f>IF(OR(ТабПозиции[[#This Row],[item]]="По штрихкоду",ТабПозиции[[#This Row],[item]]="Посылка"),ТабПозиции[[#This Row],[deliverySumm]]+ТабПозиции[[#This Row],[deliveryPost]],SUM(N943:P943))</f>
        <v>354</v>
      </c>
      <c r="R943" s="41">
        <v>354</v>
      </c>
      <c r="S943" s="46">
        <f>ТабПозиции[[#This Row],[totalSumm]]-ТабПозиции[[#This Row],[payment]]</f>
        <v>0</v>
      </c>
      <c r="T943" s="18" t="s">
        <v>970</v>
      </c>
      <c r="U943" s="40" t="s">
        <v>545</v>
      </c>
      <c r="V943" s="40" t="s">
        <v>545</v>
      </c>
      <c r="W943" s="40" t="s">
        <v>545</v>
      </c>
      <c r="X943" s="3"/>
      <c r="Y943"/>
    </row>
    <row r="944" spans="1:25" hidden="1" x14ac:dyDescent="0.25">
      <c r="A944" s="10">
        <v>271</v>
      </c>
      <c r="B944" s="1">
        <f>IFERROR(VLOOKUP(ТабПозиции[[#This Row],[orderNum]],ТабЗаказы[#Data],MATCH(B$7,ТабЗаказы[#Headers],0),0),"")</f>
        <v>45565</v>
      </c>
      <c r="C944" t="str">
        <f>MONTH(ТабПозиции[[#This Row],[date]])&amp;"/"&amp;YEAR(ТабПозиции[[#This Row],[date]])</f>
        <v>9/2024</v>
      </c>
      <c r="D944" s="1" t="str">
        <f>IFERROR(VLOOKUP(ТабПозиции[[#This Row],[orderNum]],ТабЗаказы[#Data],MATCH(D$7,ТабЗаказы[#Headers],0),0),"")</f>
        <v/>
      </c>
      <c r="E944" s="1" t="str">
        <f>IFERROR(VLOOKUP(ТабПозиции[[#This Row],[orderNum]],ТабЗаказы[#Data],MATCH(E$7,ТабЗаказы[#Headers],0),0),"")</f>
        <v/>
      </c>
      <c r="F944" s="16" t="s">
        <v>639</v>
      </c>
      <c r="G944" s="40" t="s">
        <v>545</v>
      </c>
      <c r="I944" s="18">
        <v>45566</v>
      </c>
      <c r="J944" s="10">
        <v>1</v>
      </c>
      <c r="K944" s="10">
        <v>551</v>
      </c>
      <c r="L944">
        <v>551</v>
      </c>
      <c r="M944" s="10">
        <v>591</v>
      </c>
      <c r="N944">
        <f t="shared" si="16"/>
        <v>591</v>
      </c>
      <c r="P9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Row],[orderNum]],ТабПозиции[orderSumm])&gt;1500),ABS(N944*VLOOKUP(ТабПозиции[[#This Row],[orderNum]],ТабЗаказы[#Data],MATCH("Percent",ТабЗаказы[#Headers],0),0))/100,200/COUNTIF(ТабПозиции[orderNum],ТабПозиции[[#This Row],[orderNum]])),0),"")</f>
        <v>89</v>
      </c>
      <c r="Q944">
        <f>IF(OR(ТабПозиции[[#This Row],[item]]="По штрихкоду",ТабПозиции[[#This Row],[item]]="Посылка"),ТабПозиции[[#This Row],[deliverySumm]]+ТабПозиции[[#This Row],[deliveryPost]],SUM(N944:P944))</f>
        <v>680</v>
      </c>
      <c r="R944" s="41">
        <v>680</v>
      </c>
      <c r="S944" s="46">
        <f>ТабПозиции[[#This Row],[totalSumm]]-ТабПозиции[[#This Row],[payment]]</f>
        <v>0</v>
      </c>
      <c r="T944" s="18" t="s">
        <v>960</v>
      </c>
      <c r="U944" s="40" t="s">
        <v>545</v>
      </c>
      <c r="V944" s="40" t="s">
        <v>545</v>
      </c>
      <c r="W944" s="40" t="s">
        <v>545</v>
      </c>
      <c r="X944" s="3"/>
      <c r="Y944"/>
    </row>
    <row r="945" spans="1:25" hidden="1" x14ac:dyDescent="0.25">
      <c r="A945" s="10">
        <v>271</v>
      </c>
      <c r="B945" s="1">
        <f>IFERROR(VLOOKUP(ТабПозиции[[#This Row],[orderNum]],ТабЗаказы[#Data],MATCH(B$7,ТабЗаказы[#Headers],0),0),"")</f>
        <v>45565</v>
      </c>
      <c r="C945" t="str">
        <f>MONTH(ТабПозиции[[#This Row],[date]])&amp;"/"&amp;YEAR(ТабПозиции[[#This Row],[date]])</f>
        <v>9/2024</v>
      </c>
      <c r="D945" s="1" t="str">
        <f>IFERROR(VLOOKUP(ТабПозиции[[#This Row],[orderNum]],ТабЗаказы[#Data],MATCH(D$7,ТабЗаказы[#Headers],0),0),"")</f>
        <v/>
      </c>
      <c r="E945" s="1" t="str">
        <f>IFERROR(VLOOKUP(ТабПозиции[[#This Row],[orderNum]],ТабЗаказы[#Data],MATCH(E$7,ТабЗаказы[#Headers],0),0),"")</f>
        <v/>
      </c>
      <c r="F945" s="16" t="s">
        <v>1445</v>
      </c>
      <c r="G945" s="40" t="s">
        <v>545</v>
      </c>
      <c r="I945" s="18">
        <v>45568</v>
      </c>
      <c r="J945" s="10">
        <v>1</v>
      </c>
      <c r="K945" s="10">
        <v>662</v>
      </c>
      <c r="L945">
        <v>662</v>
      </c>
      <c r="M945" s="10">
        <v>662</v>
      </c>
      <c r="N945">
        <f t="shared" si="16"/>
        <v>662</v>
      </c>
      <c r="P9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Row],[orderNum]],ТабПозиции[orderSumm])&gt;1500),ABS(N945*VLOOKUP(ТабПозиции[[#This Row],[orderNum]],ТабЗаказы[#Data],MATCH("Percent",ТабЗаказы[#Headers],0),0))/100,200/COUNTIF(ТабПозиции[orderNum],ТабПозиции[[#This Row],[orderNum]])),0),"")</f>
        <v>99</v>
      </c>
      <c r="Q945">
        <f>IF(OR(ТабПозиции[[#This Row],[item]]="По штрихкоду",ТабПозиции[[#This Row],[item]]="Посылка"),ТабПозиции[[#This Row],[deliverySumm]]+ТабПозиции[[#This Row],[deliveryPost]],SUM(N945:P945))</f>
        <v>761</v>
      </c>
      <c r="R945" s="41">
        <v>761</v>
      </c>
      <c r="S945" s="46">
        <f>ТабПозиции[[#This Row],[totalSumm]]-ТабПозиции[[#This Row],[payment]]</f>
        <v>0</v>
      </c>
      <c r="T945" s="18" t="s">
        <v>960</v>
      </c>
      <c r="U945" s="40" t="s">
        <v>545</v>
      </c>
      <c r="V945" s="40" t="s">
        <v>545</v>
      </c>
      <c r="W945" s="40" t="s">
        <v>545</v>
      </c>
      <c r="X945" s="3"/>
      <c r="Y945"/>
    </row>
    <row r="946" spans="1:25" hidden="1" x14ac:dyDescent="0.25">
      <c r="A946" s="10">
        <v>271</v>
      </c>
      <c r="B946" s="1">
        <f>IFERROR(VLOOKUP(ТабПозиции[[#This Row],[orderNum]],ТабЗаказы[#Data],MATCH(B$7,ТабЗаказы[#Headers],0),0),"")</f>
        <v>45565</v>
      </c>
      <c r="C946" t="str">
        <f>MONTH(ТабПозиции[[#This Row],[date]])&amp;"/"&amp;YEAR(ТабПозиции[[#This Row],[date]])</f>
        <v>9/2024</v>
      </c>
      <c r="D946" s="1" t="str">
        <f>IFERROR(VLOOKUP(ТабПозиции[[#This Row],[orderNum]],ТабЗаказы[#Data],MATCH(D$7,ТабЗаказы[#Headers],0),0),"")</f>
        <v/>
      </c>
      <c r="E946" s="1" t="str">
        <f>IFERROR(VLOOKUP(ТабПозиции[[#This Row],[orderNum]],ТабЗаказы[#Data],MATCH(E$7,ТабЗаказы[#Headers],0),0),"")</f>
        <v/>
      </c>
      <c r="F946" s="16" t="s">
        <v>1446</v>
      </c>
      <c r="G946" s="40" t="s">
        <v>545</v>
      </c>
      <c r="I946" s="18">
        <v>45567</v>
      </c>
      <c r="J946" s="10">
        <v>1</v>
      </c>
      <c r="K946" s="10">
        <v>133</v>
      </c>
      <c r="L946">
        <v>133</v>
      </c>
      <c r="M946" s="10">
        <v>140</v>
      </c>
      <c r="N946">
        <f t="shared" si="16"/>
        <v>140</v>
      </c>
      <c r="P9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Row],[orderNum]],ТабПозиции[orderSumm])&gt;1500),ABS(N946*VLOOKUP(ТабПозиции[[#This Row],[orderNum]],ТабЗаказы[#Data],MATCH("Percent",ТабЗаказы[#Headers],0),0))/100,200/COUNTIF(ТабПозиции[orderNum],ТабПозиции[[#This Row],[orderNum]])),0),"")</f>
        <v>21</v>
      </c>
      <c r="Q946">
        <f>IF(OR(ТабПозиции[[#This Row],[item]]="По штрихкоду",ТабПозиции[[#This Row],[item]]="Посылка"),ТабПозиции[[#This Row],[deliverySumm]]+ТабПозиции[[#This Row],[deliveryPost]],SUM(N946:P946))</f>
        <v>161</v>
      </c>
      <c r="R946" s="41">
        <v>161</v>
      </c>
      <c r="S946" s="46">
        <f>ТабПозиции[[#This Row],[totalSumm]]-ТабПозиции[[#This Row],[payment]]</f>
        <v>0</v>
      </c>
      <c r="T946" s="18" t="s">
        <v>960</v>
      </c>
      <c r="U946" s="40" t="s">
        <v>545</v>
      </c>
      <c r="V946" s="40" t="s">
        <v>545</v>
      </c>
      <c r="W946" s="40" t="s">
        <v>545</v>
      </c>
      <c r="X946" s="3"/>
      <c r="Y946"/>
    </row>
    <row r="947" spans="1:25" hidden="1" x14ac:dyDescent="0.25">
      <c r="A947" s="10">
        <v>271</v>
      </c>
      <c r="B947" s="1">
        <f>IFERROR(VLOOKUP(ТабПозиции[[#This Row],[orderNum]],ТабЗаказы[#Data],MATCH(B$7,ТабЗаказы[#Headers],0),0),"")</f>
        <v>45565</v>
      </c>
      <c r="C947" t="str">
        <f>MONTH(ТабПозиции[[#This Row],[date]])&amp;"/"&amp;YEAR(ТабПозиции[[#This Row],[date]])</f>
        <v>9/2024</v>
      </c>
      <c r="D947" s="1" t="str">
        <f>IFERROR(VLOOKUP(ТабПозиции[[#This Row],[orderNum]],ТабЗаказы[#Data],MATCH(D$7,ТабЗаказы[#Headers],0),0),"")</f>
        <v/>
      </c>
      <c r="E947" s="1" t="str">
        <f>IFERROR(VLOOKUP(ТабПозиции[[#This Row],[orderNum]],ТабЗаказы[#Data],MATCH(E$7,ТабЗаказы[#Headers],0),0),"")</f>
        <v/>
      </c>
      <c r="F947" s="16" t="s">
        <v>1444</v>
      </c>
      <c r="G947" s="40" t="s">
        <v>545</v>
      </c>
      <c r="I947" s="18">
        <v>45568</v>
      </c>
      <c r="J947" s="10">
        <v>1</v>
      </c>
      <c r="K947" s="10">
        <v>331</v>
      </c>
      <c r="L947">
        <v>331</v>
      </c>
      <c r="M947" s="10">
        <v>338</v>
      </c>
      <c r="N947">
        <f t="shared" si="16"/>
        <v>338</v>
      </c>
      <c r="P9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Row],[orderNum]],ТабПозиции[orderSumm])&gt;1500),ABS(N947*VLOOKUP(ТабПозиции[[#This Row],[orderNum]],ТабЗаказы[#Data],MATCH("Percent",ТабЗаказы[#Headers],0),0))/100,200/COUNTIF(ТабПозиции[orderNum],ТабПозиции[[#This Row],[orderNum]])),0),"")</f>
        <v>51</v>
      </c>
      <c r="Q947">
        <f>IF(OR(ТабПозиции[[#This Row],[item]]="По штрихкоду",ТабПозиции[[#This Row],[item]]="Посылка"),ТабПозиции[[#This Row],[deliverySumm]]+ТабПозиции[[#This Row],[deliveryPost]],SUM(N947:P947))</f>
        <v>389</v>
      </c>
      <c r="R947" s="41">
        <v>389</v>
      </c>
      <c r="S947" s="46">
        <f>ТабПозиции[[#This Row],[totalSumm]]-ТабПозиции[[#This Row],[payment]]</f>
        <v>0</v>
      </c>
      <c r="T947" s="18" t="s">
        <v>960</v>
      </c>
      <c r="U947" s="40" t="s">
        <v>545</v>
      </c>
      <c r="V947" s="40" t="s">
        <v>545</v>
      </c>
      <c r="W947" s="40" t="s">
        <v>545</v>
      </c>
      <c r="X947" s="3"/>
      <c r="Y947"/>
    </row>
    <row r="948" spans="1:25" hidden="1" x14ac:dyDescent="0.25">
      <c r="A948" s="10">
        <v>272</v>
      </c>
      <c r="B948" s="1">
        <f>IFERROR(VLOOKUP(ТабПозиции[[#This Row],[orderNum]],ТабЗаказы[#Data],MATCH(B$7,ТабЗаказы[#Headers],0),0),"")</f>
        <v>45565</v>
      </c>
      <c r="C948" t="str">
        <f>MONTH(ТабПозиции[[#This Row],[date]])&amp;"/"&amp;YEAR(ТабПозиции[[#This Row],[date]])</f>
        <v>9/2024</v>
      </c>
      <c r="D948" s="1" t="str">
        <f>IFERROR(VLOOKUP(ТабПозиции[[#This Row],[orderNum]],ТабЗаказы[#Data],MATCH(D$7,ТабЗаказы[#Headers],0),0),"")</f>
        <v/>
      </c>
      <c r="E948" s="1" t="str">
        <f>IFERROR(VLOOKUP(ТабПозиции[[#This Row],[orderNum]],ТабЗаказы[#Data],MATCH(E$7,ТабЗаказы[#Headers],0),0),"")</f>
        <v/>
      </c>
      <c r="F948" s="16" t="s">
        <v>1454</v>
      </c>
      <c r="G948" s="40" t="s">
        <v>545</v>
      </c>
      <c r="H948" s="12" t="s">
        <v>1475</v>
      </c>
      <c r="I948" s="18"/>
      <c r="J948" s="10">
        <v>1</v>
      </c>
      <c r="K948" s="10">
        <v>198</v>
      </c>
      <c r="L948">
        <v>198</v>
      </c>
      <c r="M948" s="10">
        <v>222</v>
      </c>
      <c r="N948">
        <f t="shared" ref="N948:N974" si="17">M948*J948</f>
        <v>222</v>
      </c>
      <c r="O948" s="10">
        <v>240</v>
      </c>
      <c r="P9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Row],[orderNum]],ТабПозиции[orderSumm])&gt;1500),ABS(N948*VLOOKUP(ТабПозиции[[#This Row],[orderNum]],ТабЗаказы[#Data],MATCH("Percent",ТабЗаказы[#Headers],0),0))/100,200/COUNTIF(ТабПозиции[orderNum],ТабПозиции[[#This Row],[orderNum]])),0),"")</f>
        <v>22</v>
      </c>
      <c r="Q948">
        <f>IF(OR(ТабПозиции[[#This Row],[item]]="По штрихкоду",ТабПозиции[[#This Row],[item]]="Посылка"),ТабПозиции[[#This Row],[deliverySumm]]+ТабПозиции[[#This Row],[deliveryPost]],SUM(N948:P948))</f>
        <v>484</v>
      </c>
      <c r="R948" s="41">
        <v>484</v>
      </c>
      <c r="S948" s="46">
        <f>ТабПозиции[[#This Row],[totalSumm]]-ТабПозиции[[#This Row],[payment]]</f>
        <v>0</v>
      </c>
      <c r="T948" s="18" t="s">
        <v>1118</v>
      </c>
      <c r="U948" s="40" t="s">
        <v>545</v>
      </c>
      <c r="V948" s="40" t="s">
        <v>545</v>
      </c>
      <c r="W948" s="40" t="s">
        <v>545</v>
      </c>
      <c r="X948" s="3"/>
      <c r="Y948"/>
    </row>
    <row r="949" spans="1:25" hidden="1" x14ac:dyDescent="0.25">
      <c r="A949" s="10">
        <v>272</v>
      </c>
      <c r="B949" s="1">
        <f>IFERROR(VLOOKUP(ТабПозиции[[#This Row],[orderNum]],ТабЗаказы[#Data],MATCH(B$7,ТабЗаказы[#Headers],0),0),"")</f>
        <v>45565</v>
      </c>
      <c r="C949" t="str">
        <f>MONTH(ТабПозиции[[#This Row],[date]])&amp;"/"&amp;YEAR(ТабПозиции[[#This Row],[date]])</f>
        <v>9/2024</v>
      </c>
      <c r="D949" s="1" t="str">
        <f>IFERROR(VLOOKUP(ТабПозиции[[#This Row],[orderNum]],ТабЗаказы[#Data],MATCH(D$7,ТабЗаказы[#Headers],0),0),"")</f>
        <v/>
      </c>
      <c r="E949" s="1" t="str">
        <f>IFERROR(VLOOKUP(ТабПозиции[[#This Row],[orderNum]],ТабЗаказы[#Data],MATCH(E$7,ТабЗаказы[#Headers],0),0),"")</f>
        <v/>
      </c>
      <c r="F949" s="16" t="s">
        <v>1459</v>
      </c>
      <c r="G949" s="40" t="s">
        <v>545</v>
      </c>
      <c r="I949" s="18"/>
      <c r="J949" s="23">
        <v>0</v>
      </c>
      <c r="K949" s="10">
        <v>529</v>
      </c>
      <c r="L949">
        <v>0</v>
      </c>
      <c r="M949" s="10">
        <v>529</v>
      </c>
      <c r="N949">
        <f t="shared" si="17"/>
        <v>0</v>
      </c>
      <c r="P9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Row],[orderNum]],ТабПозиции[orderSumm])&gt;1500),ABS(N949*VLOOKUP(ТабПозиции[[#This Row],[orderNum]],ТабЗаказы[#Data],MATCH("Percent",ТабЗаказы[#Headers],0),0))/100,200/COUNTIF(ТабПозиции[orderNum],ТабПозиции[[#This Row],[orderNum]])),0),"")</f>
        <v>0</v>
      </c>
      <c r="Q949">
        <f>IF(OR(ТабПозиции[[#This Row],[item]]="По штрихкоду",ТабПозиции[[#This Row],[item]]="Посылка"),ТабПозиции[[#This Row],[deliverySumm]]+ТабПозиции[[#This Row],[deliveryPost]],SUM(N949:P949))</f>
        <v>0</v>
      </c>
      <c r="S949" s="46">
        <f>ТабПозиции[[#This Row],[totalSumm]]-ТабПозиции[[#This Row],[payment]]</f>
        <v>0</v>
      </c>
      <c r="T949" s="18"/>
      <c r="U949" s="40" t="s">
        <v>545</v>
      </c>
      <c r="V949" s="40" t="s">
        <v>545</v>
      </c>
      <c r="W949" s="40" t="s">
        <v>545</v>
      </c>
      <c r="X949" s="3"/>
      <c r="Y949"/>
    </row>
    <row r="950" spans="1:25" hidden="1" x14ac:dyDescent="0.25">
      <c r="A950" s="10">
        <v>272</v>
      </c>
      <c r="B950" s="1">
        <f>IFERROR(VLOOKUP(ТабПозиции[[#This Row],[orderNum]],ТабЗаказы[#Data],MATCH(B$7,ТабЗаказы[#Headers],0),0),"")</f>
        <v>45565</v>
      </c>
      <c r="C950" t="str">
        <f>MONTH(ТабПозиции[[#This Row],[date]])&amp;"/"&amp;YEAR(ТабПозиции[[#This Row],[date]])</f>
        <v>9/2024</v>
      </c>
      <c r="D950" s="1" t="str">
        <f>IFERROR(VLOOKUP(ТабПозиции[[#This Row],[orderNum]],ТабЗаказы[#Data],MATCH(D$7,ТабЗаказы[#Headers],0),0),"")</f>
        <v/>
      </c>
      <c r="E950" s="1" t="str">
        <f>IFERROR(VLOOKUP(ТабПозиции[[#This Row],[orderNum]],ТабЗаказы[#Data],MATCH(E$7,ТабЗаказы[#Headers],0),0),"")</f>
        <v/>
      </c>
      <c r="F950" s="16" t="s">
        <v>1460</v>
      </c>
      <c r="G950" s="40" t="s">
        <v>545</v>
      </c>
      <c r="I950" s="18"/>
      <c r="J950" s="10">
        <v>1</v>
      </c>
      <c r="K950" s="10">
        <v>445</v>
      </c>
      <c r="L950">
        <v>445</v>
      </c>
      <c r="M950" s="10">
        <v>479</v>
      </c>
      <c r="N950">
        <f t="shared" si="17"/>
        <v>479</v>
      </c>
      <c r="P9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Row],[orderNum]],ТабПозиции[orderSumm])&gt;1500),ABS(N950*VLOOKUP(ТабПозиции[[#This Row],[orderNum]],ТабЗаказы[#Data],MATCH("Percent",ТабЗаказы[#Headers],0),0))/100,200/COUNTIF(ТабПозиции[orderNum],ТабПозиции[[#This Row],[orderNum]])),0),"")</f>
        <v>48</v>
      </c>
      <c r="Q950">
        <f>IF(OR(ТабПозиции[[#This Row],[item]]="По штрихкоду",ТабПозиции[[#This Row],[item]]="Посылка"),ТабПозиции[[#This Row],[deliverySumm]]+ТабПозиции[[#This Row],[deliveryPost]],SUM(N950:P950))</f>
        <v>527</v>
      </c>
      <c r="R950" s="41">
        <v>527</v>
      </c>
      <c r="S950" s="46">
        <f>ТабПозиции[[#This Row],[totalSumm]]-ТабПозиции[[#This Row],[payment]]</f>
        <v>0</v>
      </c>
      <c r="T950" s="18" t="s">
        <v>960</v>
      </c>
      <c r="U950" s="40" t="s">
        <v>545</v>
      </c>
      <c r="V950" s="40" t="s">
        <v>545</v>
      </c>
      <c r="W950" s="40" t="s">
        <v>545</v>
      </c>
      <c r="X950" s="3"/>
      <c r="Y950"/>
    </row>
    <row r="951" spans="1:25" hidden="1" x14ac:dyDescent="0.25">
      <c r="A951" s="10">
        <v>272</v>
      </c>
      <c r="B951" s="1">
        <f>IFERROR(VLOOKUP(ТабПозиции[[#This Row],[orderNum]],ТабЗаказы[#Data],MATCH(B$7,ТабЗаказы[#Headers],0),0),"")</f>
        <v>45565</v>
      </c>
      <c r="C951" t="str">
        <f>MONTH(ТабПозиции[[#This Row],[date]])&amp;"/"&amp;YEAR(ТабПозиции[[#This Row],[date]])</f>
        <v>9/2024</v>
      </c>
      <c r="D951" s="1" t="str">
        <f>IFERROR(VLOOKUP(ТабПозиции[[#This Row],[orderNum]],ТабЗаказы[#Data],MATCH(D$7,ТабЗаказы[#Headers],0),0),"")</f>
        <v/>
      </c>
      <c r="E951" s="1" t="str">
        <f>IFERROR(VLOOKUP(ТабПозиции[[#This Row],[orderNum]],ТабЗаказы[#Data],MATCH(E$7,ТабЗаказы[#Headers],0),0),"")</f>
        <v/>
      </c>
      <c r="F951" s="16" t="s">
        <v>1447</v>
      </c>
      <c r="G951" s="40" t="s">
        <v>545</v>
      </c>
      <c r="I951" s="18"/>
      <c r="J951" s="10">
        <v>2</v>
      </c>
      <c r="K951" s="10">
        <v>154</v>
      </c>
      <c r="L951">
        <v>308</v>
      </c>
      <c r="M951" s="10">
        <v>154</v>
      </c>
      <c r="N951">
        <f t="shared" si="17"/>
        <v>308</v>
      </c>
      <c r="O951" s="10">
        <v>99</v>
      </c>
      <c r="P9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Row],[orderNum]],ТабПозиции[orderSumm])&gt;1500),ABS(N951*VLOOKUP(ТабПозиции[[#This Row],[orderNum]],ТабЗаказы[#Data],MATCH("Percent",ТабЗаказы[#Headers],0),0))/100,200/COUNTIF(ТабПозиции[orderNum],ТабПозиции[[#This Row],[orderNum]])),0),"")</f>
        <v>31</v>
      </c>
      <c r="Q951">
        <f>IF(OR(ТабПозиции[[#This Row],[item]]="По штрихкоду",ТабПозиции[[#This Row],[item]]="Посылка"),ТабПозиции[[#This Row],[deliverySumm]]+ТабПозиции[[#This Row],[deliveryPost]],SUM(N951:P951))</f>
        <v>438</v>
      </c>
      <c r="R951" s="41">
        <v>438</v>
      </c>
      <c r="S951" s="46">
        <f>ТабПозиции[[#This Row],[totalSumm]]-ТабПозиции[[#This Row],[payment]]</f>
        <v>0</v>
      </c>
      <c r="T951" s="18" t="s">
        <v>1473</v>
      </c>
      <c r="U951" s="40" t="s">
        <v>545</v>
      </c>
      <c r="V951" s="40" t="s">
        <v>545</v>
      </c>
      <c r="W951" s="40" t="s">
        <v>545</v>
      </c>
      <c r="X951" s="3"/>
      <c r="Y951"/>
    </row>
    <row r="952" spans="1:25" hidden="1" x14ac:dyDescent="0.25">
      <c r="A952" s="10">
        <v>272</v>
      </c>
      <c r="B952" s="1">
        <f>IFERROR(VLOOKUP(ТабПозиции[[#This Row],[orderNum]],ТабЗаказы[#Data],MATCH(B$7,ТабЗаказы[#Headers],0),0),"")</f>
        <v>45565</v>
      </c>
      <c r="C952" t="str">
        <f>MONTH(ТабПозиции[[#This Row],[date]])&amp;"/"&amp;YEAR(ТабПозиции[[#This Row],[date]])</f>
        <v>9/2024</v>
      </c>
      <c r="D952" s="1" t="str">
        <f>IFERROR(VLOOKUP(ТабПозиции[[#This Row],[orderNum]],ТабЗаказы[#Data],MATCH(D$7,ТабЗаказы[#Headers],0),0),"")</f>
        <v/>
      </c>
      <c r="E952" s="1" t="str">
        <f>IFERROR(VLOOKUP(ТабПозиции[[#This Row],[orderNum]],ТабЗаказы[#Data],MATCH(E$7,ТабЗаказы[#Headers],0),0),"")</f>
        <v/>
      </c>
      <c r="F952" s="16" t="s">
        <v>1448</v>
      </c>
      <c r="G952" s="40" t="s">
        <v>545</v>
      </c>
      <c r="I952" s="18"/>
      <c r="J952" s="23">
        <v>1</v>
      </c>
      <c r="K952" s="10">
        <v>154</v>
      </c>
      <c r="L952">
        <v>154</v>
      </c>
      <c r="M952" s="10">
        <v>154</v>
      </c>
      <c r="N952">
        <f t="shared" si="17"/>
        <v>154</v>
      </c>
      <c r="O952" s="10">
        <v>98</v>
      </c>
      <c r="P9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Row],[orderNum]],ТабПозиции[orderSumm])&gt;1500),ABS(N952*VLOOKUP(ТабПозиции[[#This Row],[orderNum]],ТабЗаказы[#Data],MATCH("Percent",ТабЗаказы[#Headers],0),0))/100,200/COUNTIF(ТабПозиции[orderNum],ТабПозиции[[#This Row],[orderNum]])),0),"")</f>
        <v>15</v>
      </c>
      <c r="Q952">
        <f>IF(OR(ТабПозиции[[#This Row],[item]]="По штрихкоду",ТабПозиции[[#This Row],[item]]="Посылка"),ТабПозиции[[#This Row],[deliverySumm]]+ТабПозиции[[#This Row],[deliveryPost]],SUM(N952:P952))</f>
        <v>267</v>
      </c>
      <c r="R952" s="41">
        <v>267</v>
      </c>
      <c r="S952" s="46">
        <f>ТабПозиции[[#This Row],[totalSumm]]-ТабПозиции[[#This Row],[payment]]</f>
        <v>0</v>
      </c>
      <c r="T952" s="18" t="s">
        <v>1473</v>
      </c>
      <c r="U952" s="40" t="s">
        <v>545</v>
      </c>
      <c r="V952" s="40" t="s">
        <v>545</v>
      </c>
      <c r="W952" s="40" t="s">
        <v>545</v>
      </c>
      <c r="X952" s="3"/>
      <c r="Y952"/>
    </row>
    <row r="953" spans="1:25" hidden="1" x14ac:dyDescent="0.25">
      <c r="A953" s="10">
        <v>272</v>
      </c>
      <c r="B953" s="1">
        <f>IFERROR(VLOOKUP(ТабПозиции[[#This Row],[orderNum]],ТабЗаказы[#Data],MATCH(B$7,ТабЗаказы[#Headers],0),0),"")</f>
        <v>45565</v>
      </c>
      <c r="C953" t="str">
        <f>MONTH(ТабПозиции[[#This Row],[date]])&amp;"/"&amp;YEAR(ТабПозиции[[#This Row],[date]])</f>
        <v>9/2024</v>
      </c>
      <c r="D953" s="1" t="str">
        <f>IFERROR(VLOOKUP(ТабПозиции[[#This Row],[orderNum]],ТабЗаказы[#Data],MATCH(D$7,ТабЗаказы[#Headers],0),0),"")</f>
        <v/>
      </c>
      <c r="E953" s="1" t="str">
        <f>IFERROR(VLOOKUP(ТабПозиции[[#This Row],[orderNum]],ТабЗаказы[#Data],MATCH(E$7,ТабЗаказы[#Headers],0),0),"")</f>
        <v/>
      </c>
      <c r="F953" s="16" t="s">
        <v>1453</v>
      </c>
      <c r="G953" s="40" t="s">
        <v>545</v>
      </c>
      <c r="I953" s="18"/>
      <c r="J953" s="10">
        <v>1</v>
      </c>
      <c r="K953" s="10">
        <v>349</v>
      </c>
      <c r="L953">
        <v>349</v>
      </c>
      <c r="M953" s="10">
        <v>349</v>
      </c>
      <c r="N953">
        <f t="shared" si="17"/>
        <v>349</v>
      </c>
      <c r="O953" s="10">
        <v>99</v>
      </c>
      <c r="P9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Row],[orderNum]],ТабПозиции[orderSumm])&gt;1500),ABS(N953*VLOOKUP(ТабПозиции[[#This Row],[orderNum]],ТабЗаказы[#Data],MATCH("Percent",ТабЗаказы[#Headers],0),0))/100,200/COUNTIF(ТабПозиции[orderNum],ТабПозиции[[#This Row],[orderNum]])),0),"")</f>
        <v>35</v>
      </c>
      <c r="Q953">
        <f>IF(OR(ТабПозиции[[#This Row],[item]]="По штрихкоду",ТабПозиции[[#This Row],[item]]="Посылка"),ТабПозиции[[#This Row],[deliverySumm]]+ТабПозиции[[#This Row],[deliveryPost]],SUM(N953:P953))</f>
        <v>483</v>
      </c>
      <c r="R953" s="41">
        <v>483</v>
      </c>
      <c r="S953" s="46">
        <f>ТабПозиции[[#This Row],[totalSumm]]-ТабПозиции[[#This Row],[payment]]</f>
        <v>0</v>
      </c>
      <c r="T953" s="18" t="s">
        <v>1473</v>
      </c>
      <c r="U953" s="40" t="s">
        <v>545</v>
      </c>
      <c r="V953" s="40" t="s">
        <v>545</v>
      </c>
      <c r="W953" s="40" t="s">
        <v>545</v>
      </c>
      <c r="X953" s="3"/>
      <c r="Y953"/>
    </row>
    <row r="954" spans="1:25" hidden="1" x14ac:dyDescent="0.25">
      <c r="A954" s="10">
        <v>272</v>
      </c>
      <c r="B954" s="1">
        <f>IFERROR(VLOOKUP(ТабПозиции[[#This Row],[orderNum]],ТабЗаказы[#Data],MATCH(B$7,ТабЗаказы[#Headers],0),0),"")</f>
        <v>45565</v>
      </c>
      <c r="C954" t="str">
        <f>MONTH(ТабПозиции[[#This Row],[date]])&amp;"/"&amp;YEAR(ТабПозиции[[#This Row],[date]])</f>
        <v>9/2024</v>
      </c>
      <c r="D954" s="1" t="str">
        <f>IFERROR(VLOOKUP(ТабПозиции[[#This Row],[orderNum]],ТабЗаказы[#Data],MATCH(D$7,ТабЗаказы[#Headers],0),0),"")</f>
        <v/>
      </c>
      <c r="E954" s="1" t="str">
        <f>IFERROR(VLOOKUP(ТабПозиции[[#This Row],[orderNum]],ТабЗаказы[#Data],MATCH(E$7,ТабЗаказы[#Headers],0),0),"")</f>
        <v/>
      </c>
      <c r="F954" s="16" t="s">
        <v>1457</v>
      </c>
      <c r="G954" s="40" t="s">
        <v>545</v>
      </c>
      <c r="I954" s="18"/>
      <c r="J954" s="10">
        <v>1</v>
      </c>
      <c r="K954" s="10">
        <v>439</v>
      </c>
      <c r="L954">
        <v>439</v>
      </c>
      <c r="M954" s="10">
        <v>439</v>
      </c>
      <c r="N954">
        <f t="shared" si="17"/>
        <v>439</v>
      </c>
      <c r="O954" s="10">
        <v>98</v>
      </c>
      <c r="P9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Row],[orderNum]],ТабПозиции[orderSumm])&gt;1500),ABS(N954*VLOOKUP(ТабПозиции[[#This Row],[orderNum]],ТабЗаказы[#Data],MATCH("Percent",ТабЗаказы[#Headers],0),0))/100,200/COUNTIF(ТабПозиции[orderNum],ТабПозиции[[#This Row],[orderNum]])),0),"")</f>
        <v>44</v>
      </c>
      <c r="Q954">
        <f>IF(OR(ТабПозиции[[#This Row],[item]]="По штрихкоду",ТабПозиции[[#This Row],[item]]="Посылка"),ТабПозиции[[#This Row],[deliverySumm]]+ТабПозиции[[#This Row],[deliveryPost]],SUM(N954:P954))</f>
        <v>581</v>
      </c>
      <c r="R954" s="41">
        <v>581</v>
      </c>
      <c r="S954" s="46">
        <f>ТабПозиции[[#This Row],[totalSumm]]-ТабПозиции[[#This Row],[payment]]</f>
        <v>0</v>
      </c>
      <c r="T954" s="18" t="s">
        <v>1473</v>
      </c>
      <c r="U954" s="40" t="s">
        <v>545</v>
      </c>
      <c r="V954" s="40" t="s">
        <v>545</v>
      </c>
      <c r="W954" s="40" t="s">
        <v>545</v>
      </c>
      <c r="X954" s="3"/>
      <c r="Y954"/>
    </row>
    <row r="955" spans="1:25" hidden="1" x14ac:dyDescent="0.25">
      <c r="A955" s="10">
        <v>272</v>
      </c>
      <c r="B955" s="1">
        <f>IFERROR(VLOOKUP(ТабПозиции[[#This Row],[orderNum]],ТабЗаказы[#Data],MATCH(B$7,ТабЗаказы[#Headers],0),0),"")</f>
        <v>45565</v>
      </c>
      <c r="C955" t="str">
        <f>MONTH(ТабПозиции[[#This Row],[date]])&amp;"/"&amp;YEAR(ТабПозиции[[#This Row],[date]])</f>
        <v>9/2024</v>
      </c>
      <c r="D955" s="1" t="str">
        <f>IFERROR(VLOOKUP(ТабПозиции[[#This Row],[orderNum]],ТабЗаказы[#Data],MATCH(D$7,ТабЗаказы[#Headers],0),0),"")</f>
        <v/>
      </c>
      <c r="E955" s="1" t="str">
        <f>IFERROR(VLOOKUP(ТабПозиции[[#This Row],[orderNum]],ТабЗаказы[#Data],MATCH(E$7,ТабЗаказы[#Headers],0),0),"")</f>
        <v/>
      </c>
      <c r="F955" s="16" t="s">
        <v>1449</v>
      </c>
      <c r="G955" s="40" t="s">
        <v>545</v>
      </c>
      <c r="I955" s="18">
        <v>45569</v>
      </c>
      <c r="J955" s="10">
        <v>1</v>
      </c>
      <c r="K955" s="10">
        <v>468</v>
      </c>
      <c r="L955">
        <v>468</v>
      </c>
      <c r="M955" s="10">
        <v>493</v>
      </c>
      <c r="N955" s="8">
        <f t="shared" si="17"/>
        <v>493</v>
      </c>
      <c r="P9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Row],[orderNum]],ТабПозиции[orderSumm])&gt;1500),ABS(N955*VLOOKUP(ТабПозиции[[#This Row],[orderNum]],ТабЗаказы[#Data],MATCH("Percent",ТабЗаказы[#Headers],0),0))/100,200/COUNTIF(ТабПозиции[orderNum],ТабПозиции[[#This Row],[orderNum]])),0),"")</f>
        <v>49</v>
      </c>
      <c r="Q955">
        <f>IF(OR(ТабПозиции[[#This Row],[item]]="По штрихкоду",ТабПозиции[[#This Row],[item]]="Посылка"),ТабПозиции[[#This Row],[deliverySumm]]+ТабПозиции[[#This Row],[deliveryPost]],SUM(N955:P955))</f>
        <v>542</v>
      </c>
      <c r="R955" s="41">
        <v>542</v>
      </c>
      <c r="S955" s="46">
        <f>ТабПозиции[[#This Row],[totalSumm]]-ТабПозиции[[#This Row],[payment]]</f>
        <v>0</v>
      </c>
      <c r="T955" s="18" t="s">
        <v>960</v>
      </c>
      <c r="U955" s="40" t="s">
        <v>545</v>
      </c>
      <c r="V955" s="40" t="s">
        <v>545</v>
      </c>
      <c r="W955" s="40" t="s">
        <v>545</v>
      </c>
      <c r="X955" s="3"/>
      <c r="Y955"/>
    </row>
    <row r="956" spans="1:25" hidden="1" x14ac:dyDescent="0.25">
      <c r="A956" s="10">
        <v>272</v>
      </c>
      <c r="B956" s="1">
        <f>IFERROR(VLOOKUP(ТабПозиции[[#This Row],[orderNum]],ТабЗаказы[#Data],MATCH(B$7,ТабЗаказы[#Headers],0),0),"")</f>
        <v>45565</v>
      </c>
      <c r="C956" t="str">
        <f>MONTH(ТабПозиции[[#This Row],[date]])&amp;"/"&amp;YEAR(ТабПозиции[[#This Row],[date]])</f>
        <v>9/2024</v>
      </c>
      <c r="D956" s="1" t="str">
        <f>IFERROR(VLOOKUP(ТабПозиции[[#This Row],[orderNum]],ТабЗаказы[#Data],MATCH(D$7,ТабЗаказы[#Headers],0),0),"")</f>
        <v/>
      </c>
      <c r="E956" s="1" t="str">
        <f>IFERROR(VLOOKUP(ТабПозиции[[#This Row],[orderNum]],ТабЗаказы[#Data],MATCH(E$7,ТабЗаказы[#Headers],0),0),"")</f>
        <v/>
      </c>
      <c r="F956" s="16" t="s">
        <v>1450</v>
      </c>
      <c r="G956" s="40" t="s">
        <v>545</v>
      </c>
      <c r="I956" s="18">
        <v>45566</v>
      </c>
      <c r="J956" s="10">
        <v>1</v>
      </c>
      <c r="K956" s="10">
        <v>1197</v>
      </c>
      <c r="L956">
        <v>1197</v>
      </c>
      <c r="M956" s="10">
        <v>1293</v>
      </c>
      <c r="N956" s="8">
        <f t="shared" si="17"/>
        <v>1293</v>
      </c>
      <c r="P9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Row],[orderNum]],ТабПозиции[orderSumm])&gt;1500),ABS(N956*VLOOKUP(ТабПозиции[[#This Row],[orderNum]],ТабЗаказы[#Data],MATCH("Percent",ТабЗаказы[#Headers],0),0))/100,200/COUNTIF(ТабПозиции[orderNum],ТабПозиции[[#This Row],[orderNum]])),0),"")</f>
        <v>129</v>
      </c>
      <c r="Q956">
        <f>IF(OR(ТабПозиции[[#This Row],[item]]="По штрихкоду",ТабПозиции[[#This Row],[item]]="Посылка"),ТабПозиции[[#This Row],[deliverySumm]]+ТабПозиции[[#This Row],[deliveryPost]],SUM(N956:P956))</f>
        <v>1422</v>
      </c>
      <c r="R956" s="41">
        <v>1422</v>
      </c>
      <c r="S956" s="46">
        <f>ТабПозиции[[#This Row],[totalSumm]]-ТабПозиции[[#This Row],[payment]]</f>
        <v>0</v>
      </c>
      <c r="T956" s="18" t="s">
        <v>960</v>
      </c>
      <c r="U956" s="40" t="s">
        <v>545</v>
      </c>
      <c r="V956" s="40" t="s">
        <v>545</v>
      </c>
      <c r="W956" s="40" t="s">
        <v>545</v>
      </c>
      <c r="X956" s="3"/>
      <c r="Y956"/>
    </row>
    <row r="957" spans="1:25" hidden="1" x14ac:dyDescent="0.25">
      <c r="A957" s="10">
        <v>272</v>
      </c>
      <c r="B957" s="1">
        <f>IFERROR(VLOOKUP(ТабПозиции[[#This Row],[orderNum]],ТабЗаказы[#Data],MATCH(B$7,ТабЗаказы[#Headers],0),0),"")</f>
        <v>45565</v>
      </c>
      <c r="C957" t="str">
        <f>MONTH(ТабПозиции[[#This Row],[date]])&amp;"/"&amp;YEAR(ТабПозиции[[#This Row],[date]])</f>
        <v>9/2024</v>
      </c>
      <c r="D957" s="1" t="str">
        <f>IFERROR(VLOOKUP(ТабПозиции[[#This Row],[orderNum]],ТабЗаказы[#Data],MATCH(D$7,ТабЗаказы[#Headers],0),0),"")</f>
        <v/>
      </c>
      <c r="E957" s="1" t="str">
        <f>IFERROR(VLOOKUP(ТабПозиции[[#This Row],[orderNum]],ТабЗаказы[#Data],MATCH(E$7,ТабЗаказы[#Headers],0),0),"")</f>
        <v/>
      </c>
      <c r="F957" s="16" t="s">
        <v>1452</v>
      </c>
      <c r="G957" s="40" t="s">
        <v>545</v>
      </c>
      <c r="I957" s="18">
        <v>45566</v>
      </c>
      <c r="J957" s="10">
        <v>1</v>
      </c>
      <c r="K957" s="10">
        <v>377</v>
      </c>
      <c r="L957">
        <v>377</v>
      </c>
      <c r="M957" s="10">
        <v>406</v>
      </c>
      <c r="N957" s="8">
        <f t="shared" si="17"/>
        <v>406</v>
      </c>
      <c r="P9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Row],[orderNum]],ТабПозиции[orderSumm])&gt;1500),ABS(N957*VLOOKUP(ТабПозиции[[#This Row],[orderNum]],ТабЗаказы[#Data],MATCH("Percent",ТабЗаказы[#Headers],0),0))/100,200/COUNTIF(ТабПозиции[orderNum],ТабПозиции[[#This Row],[orderNum]])),0),"")</f>
        <v>41</v>
      </c>
      <c r="Q957">
        <f>IF(OR(ТабПозиции[[#This Row],[item]]="По штрихкоду",ТабПозиции[[#This Row],[item]]="Посылка"),ТабПозиции[[#This Row],[deliverySumm]]+ТабПозиции[[#This Row],[deliveryPost]],SUM(N957:P957))</f>
        <v>447</v>
      </c>
      <c r="R957" s="41">
        <v>447</v>
      </c>
      <c r="S957" s="46">
        <f>ТабПозиции[[#This Row],[totalSumm]]-ТабПозиции[[#This Row],[payment]]</f>
        <v>0</v>
      </c>
      <c r="T957" s="18" t="s">
        <v>960</v>
      </c>
      <c r="U957" s="40" t="s">
        <v>545</v>
      </c>
      <c r="V957" s="40" t="s">
        <v>545</v>
      </c>
      <c r="W957" s="40" t="s">
        <v>545</v>
      </c>
      <c r="X957" s="3"/>
      <c r="Y957"/>
    </row>
    <row r="958" spans="1:25" hidden="1" x14ac:dyDescent="0.25">
      <c r="A958" s="10">
        <v>272</v>
      </c>
      <c r="B958" s="1">
        <f>IFERROR(VLOOKUP(ТабПозиции[[#This Row],[orderNum]],ТабЗаказы[#Data],MATCH(B$7,ТабЗаказы[#Headers],0),0),"")</f>
        <v>45565</v>
      </c>
      <c r="C958" t="str">
        <f>MONTH(ТабПозиции[[#This Row],[date]])&amp;"/"&amp;YEAR(ТабПозиции[[#This Row],[date]])</f>
        <v>9/2024</v>
      </c>
      <c r="D958" s="1" t="str">
        <f>IFERROR(VLOOKUP(ТабПозиции[[#This Row],[orderNum]],ТабЗаказы[#Data],MATCH(D$7,ТабЗаказы[#Headers],0),0),"")</f>
        <v/>
      </c>
      <c r="E958" s="1" t="str">
        <f>IFERROR(VLOOKUP(ТабПозиции[[#This Row],[orderNum]],ТабЗаказы[#Data],MATCH(E$7,ТабЗаказы[#Headers],0),0),"")</f>
        <v/>
      </c>
      <c r="F958" s="16" t="s">
        <v>861</v>
      </c>
      <c r="G958" s="40" t="s">
        <v>545</v>
      </c>
      <c r="I958" s="18">
        <v>45572</v>
      </c>
      <c r="J958" s="10">
        <v>1</v>
      </c>
      <c r="K958" s="10">
        <v>1620</v>
      </c>
      <c r="L958">
        <v>1620</v>
      </c>
      <c r="M958" s="10">
        <v>1761</v>
      </c>
      <c r="N958" s="8">
        <f t="shared" si="17"/>
        <v>1761</v>
      </c>
      <c r="P9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Row],[orderNum]],ТабПозиции[orderSumm])&gt;1500),ABS(N958*VLOOKUP(ТабПозиции[[#This Row],[orderNum]],ТабЗаказы[#Data],MATCH("Percent",ТабЗаказы[#Headers],0),0))/100,200/COUNTIF(ТабПозиции[orderNum],ТабПозиции[[#This Row],[orderNum]])),0),"")</f>
        <v>176</v>
      </c>
      <c r="Q958">
        <f>IF(OR(ТабПозиции[[#This Row],[item]]="По штрихкоду",ТабПозиции[[#This Row],[item]]="Посылка"),ТабПозиции[[#This Row],[deliverySumm]]+ТабПозиции[[#This Row],[deliveryPost]],SUM(N958:P958))</f>
        <v>1937</v>
      </c>
      <c r="R958" s="41">
        <v>1937</v>
      </c>
      <c r="S958" s="46">
        <f>ТабПозиции[[#This Row],[totalSumm]]-ТабПозиции[[#This Row],[payment]]</f>
        <v>0</v>
      </c>
      <c r="T958" s="18" t="s">
        <v>960</v>
      </c>
      <c r="U958" s="40" t="s">
        <v>545</v>
      </c>
      <c r="V958" s="40" t="s">
        <v>545</v>
      </c>
      <c r="W958" s="40" t="s">
        <v>545</v>
      </c>
      <c r="X958" s="3"/>
      <c r="Y958"/>
    </row>
    <row r="959" spans="1:25" hidden="1" x14ac:dyDescent="0.25">
      <c r="A959" s="10">
        <v>272</v>
      </c>
      <c r="B959" s="1">
        <f>IFERROR(VLOOKUP(ТабПозиции[[#This Row],[orderNum]],ТабЗаказы[#Data],MATCH(B$7,ТабЗаказы[#Headers],0),0),"")</f>
        <v>45565</v>
      </c>
      <c r="C959" t="str">
        <f>MONTH(ТабПозиции[[#This Row],[date]])&amp;"/"&amp;YEAR(ТабПозиции[[#This Row],[date]])</f>
        <v>9/2024</v>
      </c>
      <c r="D959" s="1" t="str">
        <f>IFERROR(VLOOKUP(ТабПозиции[[#This Row],[orderNum]],ТабЗаказы[#Data],MATCH(D$7,ТабЗаказы[#Headers],0),0),"")</f>
        <v/>
      </c>
      <c r="E959" s="1" t="str">
        <f>IFERROR(VLOOKUP(ТабПозиции[[#This Row],[orderNum]],ТабЗаказы[#Data],MATCH(E$7,ТабЗаказы[#Headers],0),0),"")</f>
        <v/>
      </c>
      <c r="F959" s="16" t="s">
        <v>1458</v>
      </c>
      <c r="G959" s="40" t="s">
        <v>545</v>
      </c>
      <c r="I959" s="18">
        <v>45568</v>
      </c>
      <c r="J959" s="10">
        <v>1</v>
      </c>
      <c r="K959" s="10">
        <v>532</v>
      </c>
      <c r="L959">
        <v>532</v>
      </c>
      <c r="M959" s="10">
        <v>575</v>
      </c>
      <c r="N959" s="8">
        <f t="shared" si="17"/>
        <v>575</v>
      </c>
      <c r="P9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Row],[orderNum]],ТабПозиции[orderSumm])&gt;1500),ABS(N959*VLOOKUP(ТабПозиции[[#This Row],[orderNum]],ТабЗаказы[#Data],MATCH("Percent",ТабЗаказы[#Headers],0),0))/100,200/COUNTIF(ТабПозиции[orderNum],ТабПозиции[[#This Row],[orderNum]])),0),"")</f>
        <v>58</v>
      </c>
      <c r="Q959">
        <f>IF(OR(ТабПозиции[[#This Row],[item]]="По штрихкоду",ТабПозиции[[#This Row],[item]]="Посылка"),ТабПозиции[[#This Row],[deliverySumm]]+ТабПозиции[[#This Row],[deliveryPost]],SUM(N959:P959))</f>
        <v>633</v>
      </c>
      <c r="R959" s="41">
        <v>633</v>
      </c>
      <c r="S959" s="46">
        <f>ТабПозиции[[#This Row],[totalSumm]]-ТабПозиции[[#This Row],[payment]]</f>
        <v>0</v>
      </c>
      <c r="T959" s="18" t="s">
        <v>960</v>
      </c>
      <c r="U959" s="40" t="s">
        <v>545</v>
      </c>
      <c r="V959" s="40" t="s">
        <v>545</v>
      </c>
      <c r="W959" s="40" t="s">
        <v>545</v>
      </c>
      <c r="X959" s="3"/>
      <c r="Y959"/>
    </row>
    <row r="960" spans="1:25" hidden="1" x14ac:dyDescent="0.25">
      <c r="A960" s="10">
        <v>272</v>
      </c>
      <c r="B960" s="1">
        <f>IFERROR(VLOOKUP(ТабПозиции[[#This Row],[orderNum]],ТабЗаказы[#Data],MATCH(B$7,ТабЗаказы[#Headers],0),0),"")</f>
        <v>45565</v>
      </c>
      <c r="C960" t="str">
        <f>MONTH(ТабПозиции[[#This Row],[date]])&amp;"/"&amp;YEAR(ТабПозиции[[#This Row],[date]])</f>
        <v>9/2024</v>
      </c>
      <c r="D960" s="1" t="str">
        <f>IFERROR(VLOOKUP(ТабПозиции[[#This Row],[orderNum]],ТабЗаказы[#Data],MATCH(D$7,ТабЗаказы[#Headers],0),0),"")</f>
        <v/>
      </c>
      <c r="E960" s="1" t="str">
        <f>IFERROR(VLOOKUP(ТабПозиции[[#This Row],[orderNum]],ТабЗаказы[#Data],MATCH(E$7,ТабЗаказы[#Headers],0),0),"")</f>
        <v/>
      </c>
      <c r="F960" s="16" t="s">
        <v>1461</v>
      </c>
      <c r="G960" s="40" t="s">
        <v>545</v>
      </c>
      <c r="I960" s="18">
        <v>45574</v>
      </c>
      <c r="J960" s="10">
        <v>1</v>
      </c>
      <c r="K960" s="10">
        <v>230</v>
      </c>
      <c r="L960">
        <v>230</v>
      </c>
      <c r="M960" s="10">
        <v>235</v>
      </c>
      <c r="N960" s="8">
        <f t="shared" si="17"/>
        <v>235</v>
      </c>
      <c r="P9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Row],[orderNum]],ТабПозиции[orderSumm])&gt;1500),ABS(N960*VLOOKUP(ТабПозиции[[#This Row],[orderNum]],ТабЗаказы[#Data],MATCH("Percent",ТабЗаказы[#Headers],0),0))/100,200/COUNTIF(ТабПозиции[orderNum],ТабПозиции[[#This Row],[orderNum]])),0),"")</f>
        <v>24</v>
      </c>
      <c r="Q960">
        <f>IF(OR(ТабПозиции[[#This Row],[item]]="По штрихкоду",ТабПозиции[[#This Row],[item]]="Посылка"),ТабПозиции[[#This Row],[deliverySumm]]+ТабПозиции[[#This Row],[deliveryPost]],SUM(N960:P960))</f>
        <v>259</v>
      </c>
      <c r="R960" s="41">
        <v>259</v>
      </c>
      <c r="S960" s="46">
        <f>ТабПозиции[[#This Row],[totalSumm]]-ТабПозиции[[#This Row],[payment]]</f>
        <v>0</v>
      </c>
      <c r="T960" s="18" t="s">
        <v>960</v>
      </c>
      <c r="U960" s="40" t="s">
        <v>545</v>
      </c>
      <c r="V960" s="40" t="s">
        <v>545</v>
      </c>
      <c r="W960" s="40" t="s">
        <v>545</v>
      </c>
      <c r="X960" s="3"/>
      <c r="Y960"/>
    </row>
    <row r="961" spans="1:25" hidden="1" x14ac:dyDescent="0.25">
      <c r="A961" s="10">
        <v>272</v>
      </c>
      <c r="B961" s="1">
        <f>IFERROR(VLOOKUP(ТабПозиции[[#This Row],[orderNum]],ТабЗаказы[#Data],MATCH(B$7,ТабЗаказы[#Headers],0),0),"")</f>
        <v>45565</v>
      </c>
      <c r="C961" t="str">
        <f>MONTH(ТабПозиции[[#This Row],[date]])&amp;"/"&amp;YEAR(ТабПозиции[[#This Row],[date]])</f>
        <v>9/2024</v>
      </c>
      <c r="D961" s="1" t="str">
        <f>IFERROR(VLOOKUP(ТабПозиции[[#This Row],[orderNum]],ТабЗаказы[#Data],MATCH(D$7,ТабЗаказы[#Headers],0),0),"")</f>
        <v/>
      </c>
      <c r="E961" s="1" t="str">
        <f>IFERROR(VLOOKUP(ТабПозиции[[#This Row],[orderNum]],ТабЗаказы[#Data],MATCH(E$7,ТабЗаказы[#Headers],0),0),"")</f>
        <v/>
      </c>
      <c r="F961" s="33" t="s">
        <v>1462</v>
      </c>
      <c r="G961" s="40" t="s">
        <v>545</v>
      </c>
      <c r="I961" s="18">
        <v>45573</v>
      </c>
      <c r="J961" s="23">
        <v>0</v>
      </c>
      <c r="K961" s="10">
        <v>791</v>
      </c>
      <c r="L961">
        <v>0</v>
      </c>
      <c r="M961" s="10">
        <v>854</v>
      </c>
      <c r="N961" s="8">
        <f t="shared" si="17"/>
        <v>0</v>
      </c>
      <c r="P9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Row],[orderNum]],ТабПозиции[orderSumm])&gt;1500),ABS(N961*VLOOKUP(ТабПозиции[[#This Row],[orderNum]],ТабЗаказы[#Data],MATCH("Percent",ТабЗаказы[#Headers],0),0))/100,200/COUNTIF(ТабПозиции[orderNum],ТабПозиции[[#This Row],[orderNum]])),0),"")</f>
        <v>0</v>
      </c>
      <c r="Q961">
        <f>IF(OR(ТабПозиции[[#This Row],[item]]="По штрихкоду",ТабПозиции[[#This Row],[item]]="Посылка"),ТабПозиции[[#This Row],[deliverySumm]]+ТабПозиции[[#This Row],[deliveryPost]],SUM(N961:P961))</f>
        <v>0</v>
      </c>
      <c r="R961" s="41">
        <v>0</v>
      </c>
      <c r="S961" s="46">
        <f>ТабПозиции[[#This Row],[totalSumm]]-ТабПозиции[[#This Row],[payment]]</f>
        <v>0</v>
      </c>
      <c r="T961" s="18" t="s">
        <v>960</v>
      </c>
      <c r="U961" s="40" t="s">
        <v>545</v>
      </c>
      <c r="V961" s="40" t="s">
        <v>545</v>
      </c>
      <c r="W961" s="40" t="s">
        <v>545</v>
      </c>
      <c r="X961" s="3"/>
      <c r="Y961"/>
    </row>
    <row r="962" spans="1:25" hidden="1" x14ac:dyDescent="0.25">
      <c r="A962" s="10">
        <v>272</v>
      </c>
      <c r="B962" s="1">
        <f>IFERROR(VLOOKUP(ТабПозиции[[#This Row],[orderNum]],ТабЗаказы[#Data],MATCH(B$7,ТабЗаказы[#Headers],0),0),"")</f>
        <v>45565</v>
      </c>
      <c r="C962" t="str">
        <f>MONTH(ТабПозиции[[#This Row],[date]])&amp;"/"&amp;YEAR(ТабПозиции[[#This Row],[date]])</f>
        <v>9/2024</v>
      </c>
      <c r="D962" s="1" t="str">
        <f>IFERROR(VLOOKUP(ТабПозиции[[#This Row],[orderNum]],ТабЗаказы[#Data],MATCH(D$7,ТабЗаказы[#Headers],0),0),"")</f>
        <v/>
      </c>
      <c r="E962" s="1" t="str">
        <f>IFERROR(VLOOKUP(ТабПозиции[[#This Row],[orderNum]],ТабЗаказы[#Data],MATCH(E$7,ТабЗаказы[#Headers],0),0),"")</f>
        <v/>
      </c>
      <c r="F962" s="16" t="s">
        <v>1466</v>
      </c>
      <c r="G962" s="40" t="s">
        <v>545</v>
      </c>
      <c r="I962" s="18">
        <v>45566</v>
      </c>
      <c r="J962" s="10">
        <v>1</v>
      </c>
      <c r="K962" s="10">
        <v>196</v>
      </c>
      <c r="L962">
        <v>196</v>
      </c>
      <c r="M962" s="10">
        <v>200</v>
      </c>
      <c r="N962" s="8">
        <f t="shared" si="17"/>
        <v>200</v>
      </c>
      <c r="P9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Row],[orderNum]],ТабПозиции[orderSumm])&gt;1500),ABS(N962*VLOOKUP(ТабПозиции[[#This Row],[orderNum]],ТабЗаказы[#Data],MATCH("Percent",ТабЗаказы[#Headers],0),0))/100,200/COUNTIF(ТабПозиции[orderNum],ТабПозиции[[#This Row],[orderNum]])),0),"")</f>
        <v>20</v>
      </c>
      <c r="Q962">
        <f>IF(OR(ТабПозиции[[#This Row],[item]]="По штрихкоду",ТабПозиции[[#This Row],[item]]="Посылка"),ТабПозиции[[#This Row],[deliverySumm]]+ТабПозиции[[#This Row],[deliveryPost]],SUM(N962:P962))</f>
        <v>220</v>
      </c>
      <c r="R962" s="41">
        <v>220</v>
      </c>
      <c r="S962" s="46">
        <f>ТабПозиции[[#This Row],[totalSumm]]-ТабПозиции[[#This Row],[payment]]</f>
        <v>0</v>
      </c>
      <c r="T962" s="18" t="s">
        <v>960</v>
      </c>
      <c r="U962" s="40" t="s">
        <v>545</v>
      </c>
      <c r="V962" s="40" t="s">
        <v>545</v>
      </c>
      <c r="W962" s="40" t="s">
        <v>545</v>
      </c>
      <c r="X962" s="3"/>
      <c r="Y962"/>
    </row>
    <row r="963" spans="1:25" hidden="1" x14ac:dyDescent="0.25">
      <c r="A963" s="10">
        <v>272</v>
      </c>
      <c r="B963" s="1">
        <f>IFERROR(VLOOKUP(ТабПозиции[[#This Row],[orderNum]],ТабЗаказы[#Data],MATCH(B$7,ТабЗаказы[#Headers],0),0),"")</f>
        <v>45565</v>
      </c>
      <c r="C963" t="str">
        <f>MONTH(ТабПозиции[[#This Row],[date]])&amp;"/"&amp;YEAR(ТабПозиции[[#This Row],[date]])</f>
        <v>9/2024</v>
      </c>
      <c r="D963" s="1" t="str">
        <f>IFERROR(VLOOKUP(ТабПозиции[[#This Row],[orderNum]],ТабЗаказы[#Data],MATCH(D$7,ТабЗаказы[#Headers],0),0),"")</f>
        <v/>
      </c>
      <c r="E963" s="1" t="str">
        <f>IFERROR(VLOOKUP(ТабПозиции[[#This Row],[orderNum]],ТабЗаказы[#Data],MATCH(E$7,ТабЗаказы[#Headers],0),0),"")</f>
        <v/>
      </c>
      <c r="F963" s="16" t="s">
        <v>1467</v>
      </c>
      <c r="G963" s="40" t="s">
        <v>545</v>
      </c>
      <c r="I963" s="18">
        <v>45572</v>
      </c>
      <c r="J963" s="10">
        <v>1</v>
      </c>
      <c r="K963" s="10">
        <v>1495</v>
      </c>
      <c r="L963">
        <v>1495</v>
      </c>
      <c r="M963" s="10">
        <v>1558</v>
      </c>
      <c r="N963" s="8">
        <f t="shared" si="17"/>
        <v>1558</v>
      </c>
      <c r="P9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Row],[orderNum]],ТабПозиции[orderSumm])&gt;1500),ABS(N963*VLOOKUP(ТабПозиции[[#This Row],[orderNum]],ТабЗаказы[#Data],MATCH("Percent",ТабЗаказы[#Headers],0),0))/100,200/COUNTIF(ТабПозиции[orderNum],ТабПозиции[[#This Row],[orderNum]])),0),"")</f>
        <v>156</v>
      </c>
      <c r="Q963">
        <f>IF(OR(ТабПозиции[[#This Row],[item]]="По штрихкоду",ТабПозиции[[#This Row],[item]]="Посылка"),ТабПозиции[[#This Row],[deliverySumm]]+ТабПозиции[[#This Row],[deliveryPost]],SUM(N963:P963))</f>
        <v>1714</v>
      </c>
      <c r="R963" s="41">
        <v>1714</v>
      </c>
      <c r="S963" s="46">
        <f>ТабПозиции[[#This Row],[totalSumm]]-ТабПозиции[[#This Row],[payment]]</f>
        <v>0</v>
      </c>
      <c r="T963" s="18" t="s">
        <v>960</v>
      </c>
      <c r="U963" s="40" t="s">
        <v>545</v>
      </c>
      <c r="V963" s="40" t="s">
        <v>545</v>
      </c>
      <c r="W963" s="40" t="s">
        <v>545</v>
      </c>
      <c r="X963" s="3"/>
      <c r="Y963"/>
    </row>
    <row r="964" spans="1:25" hidden="1" x14ac:dyDescent="0.25">
      <c r="A964" s="10">
        <v>272</v>
      </c>
      <c r="B964" s="1">
        <f>IFERROR(VLOOKUP(ТабПозиции[[#This Row],[orderNum]],ТабЗаказы[#Data],MATCH(B$7,ТабЗаказы[#Headers],0),0),"")</f>
        <v>45565</v>
      </c>
      <c r="C964" t="str">
        <f>MONTH(ТабПозиции[[#This Row],[date]])&amp;"/"&amp;YEAR(ТабПозиции[[#This Row],[date]])</f>
        <v>9/2024</v>
      </c>
      <c r="D964" s="1" t="str">
        <f>IFERROR(VLOOKUP(ТабПозиции[[#This Row],[orderNum]],ТабЗаказы[#Data],MATCH(D$7,ТабЗаказы[#Headers],0),0),"")</f>
        <v/>
      </c>
      <c r="E964" s="1" t="str">
        <f>IFERROR(VLOOKUP(ТабПозиции[[#This Row],[orderNum]],ТабЗаказы[#Data],MATCH(E$7,ТабЗаказы[#Headers],0),0),"")</f>
        <v/>
      </c>
      <c r="F964" s="16" t="s">
        <v>1470</v>
      </c>
      <c r="G964" s="40" t="s">
        <v>545</v>
      </c>
      <c r="I964" s="18">
        <v>45569</v>
      </c>
      <c r="J964" s="10">
        <v>1</v>
      </c>
      <c r="K964" s="10">
        <v>180</v>
      </c>
      <c r="L964">
        <v>180</v>
      </c>
      <c r="M964" s="10">
        <v>184</v>
      </c>
      <c r="N964" s="8">
        <f t="shared" si="17"/>
        <v>184</v>
      </c>
      <c r="P9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Row],[orderNum]],ТабПозиции[orderSumm])&gt;1500),ABS(N964*VLOOKUP(ТабПозиции[[#This Row],[orderNum]],ТабЗаказы[#Data],MATCH("Percent",ТабЗаказы[#Headers],0),0))/100,200/COUNTIF(ТабПозиции[orderNum],ТабПозиции[[#This Row],[orderNum]])),0),"")</f>
        <v>18</v>
      </c>
      <c r="Q964">
        <f>IF(OR(ТабПозиции[[#This Row],[item]]="По штрихкоду",ТабПозиции[[#This Row],[item]]="Посылка"),ТабПозиции[[#This Row],[deliverySumm]]+ТабПозиции[[#This Row],[deliveryPost]],SUM(N964:P964))</f>
        <v>202</v>
      </c>
      <c r="R964" s="41">
        <v>202</v>
      </c>
      <c r="S964" s="46">
        <f>ТабПозиции[[#This Row],[totalSumm]]-ТабПозиции[[#This Row],[payment]]</f>
        <v>0</v>
      </c>
      <c r="T964" s="18" t="s">
        <v>960</v>
      </c>
      <c r="U964" s="40" t="s">
        <v>545</v>
      </c>
      <c r="V964" s="40" t="s">
        <v>545</v>
      </c>
      <c r="W964" s="40" t="s">
        <v>545</v>
      </c>
      <c r="X964" s="3"/>
      <c r="Y964"/>
    </row>
    <row r="965" spans="1:25" hidden="1" x14ac:dyDescent="0.25">
      <c r="A965" s="10">
        <v>272</v>
      </c>
      <c r="B965" s="1">
        <f>IFERROR(VLOOKUP(ТабПозиции[[#This Row],[orderNum]],ТабЗаказы[#Data],MATCH(B$7,ТабЗаказы[#Headers],0),0),"")</f>
        <v>45565</v>
      </c>
      <c r="C965" t="str">
        <f>MONTH(ТабПозиции[[#This Row],[date]])&amp;"/"&amp;YEAR(ТабПозиции[[#This Row],[date]])</f>
        <v>9/2024</v>
      </c>
      <c r="D965" s="1" t="str">
        <f>IFERROR(VLOOKUP(ТабПозиции[[#This Row],[orderNum]],ТабЗаказы[#Data],MATCH(D$7,ТабЗаказы[#Headers],0),0),"")</f>
        <v/>
      </c>
      <c r="E965" s="1" t="str">
        <f>IFERROR(VLOOKUP(ТабПозиции[[#This Row],[orderNum]],ТабЗаказы[#Data],MATCH(E$7,ТабЗаказы[#Headers],0),0),"")</f>
        <v/>
      </c>
      <c r="F965" s="16" t="s">
        <v>1471</v>
      </c>
      <c r="G965" s="40" t="s">
        <v>545</v>
      </c>
      <c r="I965" s="18">
        <v>45566</v>
      </c>
      <c r="J965" s="10">
        <v>1</v>
      </c>
      <c r="K965" s="10">
        <v>306</v>
      </c>
      <c r="L965">
        <v>306</v>
      </c>
      <c r="M965" s="10">
        <v>312</v>
      </c>
      <c r="N965" s="8">
        <f t="shared" si="17"/>
        <v>312</v>
      </c>
      <c r="P9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Row],[orderNum]],ТабПозиции[orderSumm])&gt;1500),ABS(N965*VLOOKUP(ТабПозиции[[#This Row],[orderNum]],ТабЗаказы[#Data],MATCH("Percent",ТабЗаказы[#Headers],0),0))/100,200/COUNTIF(ТабПозиции[orderNum],ТабПозиции[[#This Row],[orderNum]])),0),"")</f>
        <v>31</v>
      </c>
      <c r="Q965">
        <f>IF(OR(ТабПозиции[[#This Row],[item]]="По штрихкоду",ТабПозиции[[#This Row],[item]]="Посылка"),ТабПозиции[[#This Row],[deliverySumm]]+ТабПозиции[[#This Row],[deliveryPost]],SUM(N965:P965))</f>
        <v>343</v>
      </c>
      <c r="R965" s="41">
        <v>343</v>
      </c>
      <c r="S965" s="46">
        <f>ТабПозиции[[#This Row],[totalSumm]]-ТабПозиции[[#This Row],[payment]]</f>
        <v>0</v>
      </c>
      <c r="T965" s="18" t="s">
        <v>960</v>
      </c>
      <c r="U965" s="40" t="s">
        <v>545</v>
      </c>
      <c r="V965" s="40" t="s">
        <v>545</v>
      </c>
      <c r="W965" s="40" t="s">
        <v>545</v>
      </c>
      <c r="X965" s="3"/>
      <c r="Y965"/>
    </row>
    <row r="966" spans="1:25" hidden="1" x14ac:dyDescent="0.25">
      <c r="A966" s="10">
        <v>272</v>
      </c>
      <c r="B966" s="1">
        <f>IFERROR(VLOOKUP(ТабПозиции[[#This Row],[orderNum]],ТабЗаказы[#Data],MATCH(B$7,ТабЗаказы[#Headers],0),0),"")</f>
        <v>45565</v>
      </c>
      <c r="C966" t="str">
        <f>MONTH(ТабПозиции[[#This Row],[date]])&amp;"/"&amp;YEAR(ТабПозиции[[#This Row],[date]])</f>
        <v>9/2024</v>
      </c>
      <c r="D966" s="1" t="str">
        <f>IFERROR(VLOOKUP(ТабПозиции[[#This Row],[orderNum]],ТабЗаказы[#Data],MATCH(D$7,ТабЗаказы[#Headers],0),0),"")</f>
        <v/>
      </c>
      <c r="E966" s="1" t="str">
        <f>IFERROR(VLOOKUP(ТабПозиции[[#This Row],[orderNum]],ТабЗаказы[#Data],MATCH(E$7,ТабЗаказы[#Headers],0),0),"")</f>
        <v/>
      </c>
      <c r="F966" s="16" t="s">
        <v>1472</v>
      </c>
      <c r="G966" s="40" t="s">
        <v>545</v>
      </c>
      <c r="I966" s="18">
        <v>45566</v>
      </c>
      <c r="J966" s="10">
        <v>1</v>
      </c>
      <c r="K966" s="10">
        <v>279</v>
      </c>
      <c r="L966">
        <v>279</v>
      </c>
      <c r="M966" s="10">
        <v>285</v>
      </c>
      <c r="N966" s="8">
        <f t="shared" si="17"/>
        <v>285</v>
      </c>
      <c r="P9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Row],[orderNum]],ТабПозиции[orderSumm])&gt;1500),ABS(N966*VLOOKUP(ТабПозиции[[#This Row],[orderNum]],ТабЗаказы[#Data],MATCH("Percent",ТабЗаказы[#Headers],0),0))/100,200/COUNTIF(ТабПозиции[orderNum],ТабПозиции[[#This Row],[orderNum]])),0),"")</f>
        <v>29</v>
      </c>
      <c r="Q966">
        <f>IF(OR(ТабПозиции[[#This Row],[item]]="По штрихкоду",ТабПозиции[[#This Row],[item]]="Посылка"),ТабПозиции[[#This Row],[deliverySumm]]+ТабПозиции[[#This Row],[deliveryPost]],SUM(N966:P966))</f>
        <v>314</v>
      </c>
      <c r="R966" s="41">
        <v>314</v>
      </c>
      <c r="S966" s="46">
        <f>ТабПозиции[[#This Row],[totalSumm]]-ТабПозиции[[#This Row],[payment]]</f>
        <v>0</v>
      </c>
      <c r="T966" s="18" t="s">
        <v>960</v>
      </c>
      <c r="U966" s="40" t="s">
        <v>545</v>
      </c>
      <c r="V966" s="40" t="s">
        <v>545</v>
      </c>
      <c r="W966" s="40" t="s">
        <v>545</v>
      </c>
      <c r="X966" s="3"/>
      <c r="Y966"/>
    </row>
    <row r="967" spans="1:25" hidden="1" x14ac:dyDescent="0.25">
      <c r="A967" s="10">
        <v>272</v>
      </c>
      <c r="B967" s="1">
        <f>IFERROR(VLOOKUP(ТабПозиции[[#This Row],[orderNum]],ТабЗаказы[#Data],MATCH(B$7,ТабЗаказы[#Headers],0),0),"")</f>
        <v>45565</v>
      </c>
      <c r="C967" t="str">
        <f>MONTH(ТабПозиции[[#This Row],[date]])&amp;"/"&amp;YEAR(ТабПозиции[[#This Row],[date]])</f>
        <v>9/2024</v>
      </c>
      <c r="D967" s="1" t="str">
        <f>IFERROR(VLOOKUP(ТабПозиции[[#This Row],[orderNum]],ТабЗаказы[#Data],MATCH(D$7,ТабЗаказы[#Headers],0),0),"")</f>
        <v/>
      </c>
      <c r="E967" s="1" t="str">
        <f>IFERROR(VLOOKUP(ТабПозиции[[#This Row],[orderNum]],ТабЗаказы[#Data],MATCH(E$7,ТабЗаказы[#Headers],0),0),"")</f>
        <v/>
      </c>
      <c r="F967" s="16" t="s">
        <v>1456</v>
      </c>
      <c r="G967" s="40" t="s">
        <v>545</v>
      </c>
      <c r="I967" s="18"/>
      <c r="J967" s="10">
        <v>1</v>
      </c>
      <c r="K967" s="10">
        <v>400</v>
      </c>
      <c r="L967">
        <v>400</v>
      </c>
      <c r="M967" s="10">
        <v>400</v>
      </c>
      <c r="N967">
        <f t="shared" si="17"/>
        <v>400</v>
      </c>
      <c r="O967" s="10">
        <v>212</v>
      </c>
      <c r="P9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Row],[orderNum]],ТабПозиции[orderSumm])&gt;1500),ABS(N967*VLOOKUP(ТабПозиции[[#This Row],[orderNum]],ТабЗаказы[#Data],MATCH("Percent",ТабЗаказы[#Headers],0),0))/100,200/COUNTIF(ТабПозиции[orderNum],ТабПозиции[[#This Row],[orderNum]])),0),"")</f>
        <v>40</v>
      </c>
      <c r="Q967">
        <f>IF(OR(ТабПозиции[[#This Row],[item]]="По штрихкоду",ТабПозиции[[#This Row],[item]]="Посылка"),ТабПозиции[[#This Row],[deliverySumm]]+ТабПозиции[[#This Row],[deliveryPost]],SUM(N967:P967))</f>
        <v>652</v>
      </c>
      <c r="R967" s="41">
        <v>652</v>
      </c>
      <c r="S967" s="46">
        <f>ТабПозиции[[#This Row],[totalSumm]]-ТабПозиции[[#This Row],[payment]]</f>
        <v>0</v>
      </c>
      <c r="T967" s="18" t="s">
        <v>1016</v>
      </c>
      <c r="U967" s="40" t="s">
        <v>545</v>
      </c>
      <c r="V967" s="40" t="s">
        <v>545</v>
      </c>
      <c r="W967" s="40" t="s">
        <v>545</v>
      </c>
      <c r="X967" s="3"/>
      <c r="Y967"/>
    </row>
    <row r="968" spans="1:25" hidden="1" x14ac:dyDescent="0.25">
      <c r="A968" s="10">
        <v>272</v>
      </c>
      <c r="B968" s="1">
        <f>IFERROR(VLOOKUP(ТабПозиции[[#This Row],[orderNum]],ТабЗаказы[#Data],MATCH(B$7,ТабЗаказы[#Headers],0),0),"")</f>
        <v>45565</v>
      </c>
      <c r="C968" t="str">
        <f>MONTH(ТабПозиции[[#This Row],[date]])&amp;"/"&amp;YEAR(ТабПозиции[[#This Row],[date]])</f>
        <v>9/2024</v>
      </c>
      <c r="D968" s="1" t="str">
        <f>IFERROR(VLOOKUP(ТабПозиции[[#This Row],[orderNum]],ТабЗаказы[#Data],MATCH(D$7,ТабЗаказы[#Headers],0),0),"")</f>
        <v/>
      </c>
      <c r="E968" s="1" t="str">
        <f>IFERROR(VLOOKUP(ТабПозиции[[#This Row],[orderNum]],ТабЗаказы[#Data],MATCH(E$7,ТабЗаказы[#Headers],0),0),"")</f>
        <v/>
      </c>
      <c r="F968" s="16" t="s">
        <v>1451</v>
      </c>
      <c r="G968" s="40" t="s">
        <v>545</v>
      </c>
      <c r="I968" s="18">
        <v>45567</v>
      </c>
      <c r="J968" s="10">
        <v>1</v>
      </c>
      <c r="K968" s="10">
        <v>201</v>
      </c>
      <c r="L968">
        <v>201</v>
      </c>
      <c r="M968" s="10">
        <v>212</v>
      </c>
      <c r="N968">
        <f t="shared" si="17"/>
        <v>212</v>
      </c>
      <c r="P9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Row],[orderNum]],ТабПозиции[orderSumm])&gt;1500),ABS(N968*VLOOKUP(ТабПозиции[[#This Row],[orderNum]],ТабЗаказы[#Data],MATCH("Percent",ТабЗаказы[#Headers],0),0))/100,200/COUNTIF(ТабПозиции[orderNum],ТабПозиции[[#This Row],[orderNum]])),0),"")</f>
        <v>21</v>
      </c>
      <c r="Q968">
        <f>IF(OR(ТабПозиции[[#This Row],[item]]="По штрихкоду",ТабПозиции[[#This Row],[item]]="Посылка"),ТабПозиции[[#This Row],[deliverySumm]]+ТабПозиции[[#This Row],[deliveryPost]],SUM(N968:P968))</f>
        <v>233</v>
      </c>
      <c r="R968" s="41">
        <v>233</v>
      </c>
      <c r="S968" s="46">
        <f>ТабПозиции[[#This Row],[totalSumm]]-ТабПозиции[[#This Row],[payment]]</f>
        <v>0</v>
      </c>
      <c r="T968" s="18" t="s">
        <v>970</v>
      </c>
      <c r="U968" s="40" t="s">
        <v>545</v>
      </c>
      <c r="V968" s="40" t="s">
        <v>545</v>
      </c>
      <c r="W968" s="40" t="s">
        <v>545</v>
      </c>
      <c r="X968" s="3"/>
      <c r="Y968"/>
    </row>
    <row r="969" spans="1:25" hidden="1" x14ac:dyDescent="0.25">
      <c r="A969" s="10">
        <v>272</v>
      </c>
      <c r="B969" s="1">
        <f>IFERROR(VLOOKUP(ТабПозиции[[#This Row],[orderNum]],ТабЗаказы[#Data],MATCH(B$7,ТабЗаказы[#Headers],0),0),"")</f>
        <v>45565</v>
      </c>
      <c r="C969" t="str">
        <f>MONTH(ТабПозиции[[#This Row],[date]])&amp;"/"&amp;YEAR(ТабПозиции[[#This Row],[date]])</f>
        <v>9/2024</v>
      </c>
      <c r="D969" s="1" t="str">
        <f>IFERROR(VLOOKUP(ТабПозиции[[#This Row],[orderNum]],ТабЗаказы[#Data],MATCH(D$7,ТабЗаказы[#Headers],0),0),"")</f>
        <v/>
      </c>
      <c r="E969" s="1" t="str">
        <f>IFERROR(VLOOKUP(ТабПозиции[[#This Row],[orderNum]],ТабЗаказы[#Data],MATCH(E$7,ТабЗаказы[#Headers],0),0),"")</f>
        <v/>
      </c>
      <c r="F969" s="16" t="s">
        <v>1463</v>
      </c>
      <c r="G969" s="40" t="s">
        <v>545</v>
      </c>
      <c r="I969" s="18">
        <v>45567</v>
      </c>
      <c r="J969" s="10">
        <v>1</v>
      </c>
      <c r="K969" s="10">
        <v>383</v>
      </c>
      <c r="L969">
        <v>383</v>
      </c>
      <c r="M969" s="10">
        <v>404</v>
      </c>
      <c r="N969">
        <f t="shared" si="17"/>
        <v>404</v>
      </c>
      <c r="P9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Row],[orderNum]],ТабПозиции[orderSumm])&gt;1500),ABS(N969*VLOOKUP(ТабПозиции[[#This Row],[orderNum]],ТабЗаказы[#Data],MATCH("Percent",ТабЗаказы[#Headers],0),0))/100,200/COUNTIF(ТабПозиции[orderNum],ТабПозиции[[#This Row],[orderNum]])),0),"")</f>
        <v>40</v>
      </c>
      <c r="Q969">
        <f>IF(OR(ТабПозиции[[#This Row],[item]]="По штрихкоду",ТабПозиции[[#This Row],[item]]="Посылка"),ТабПозиции[[#This Row],[deliverySumm]]+ТабПозиции[[#This Row],[deliveryPost]],SUM(N969:P969))</f>
        <v>444</v>
      </c>
      <c r="R969" s="41">
        <v>444</v>
      </c>
      <c r="S969" s="46">
        <f>ТабПозиции[[#This Row],[totalSumm]]-ТабПозиции[[#This Row],[payment]]</f>
        <v>0</v>
      </c>
      <c r="T969" s="18" t="s">
        <v>970</v>
      </c>
      <c r="U969" s="40" t="s">
        <v>545</v>
      </c>
      <c r="V969" s="40" t="s">
        <v>545</v>
      </c>
      <c r="W969" s="40" t="s">
        <v>545</v>
      </c>
      <c r="X969" s="3"/>
      <c r="Y969"/>
    </row>
    <row r="970" spans="1:25" hidden="1" x14ac:dyDescent="0.25">
      <c r="A970" s="10">
        <v>272</v>
      </c>
      <c r="B970" s="1">
        <f>IFERROR(VLOOKUP(ТабПозиции[[#This Row],[orderNum]],ТабЗаказы[#Data],MATCH(B$7,ТабЗаказы[#Headers],0),0),"")</f>
        <v>45565</v>
      </c>
      <c r="C970" t="str">
        <f>MONTH(ТабПозиции[[#This Row],[date]])&amp;"/"&amp;YEAR(ТабПозиции[[#This Row],[date]])</f>
        <v>9/2024</v>
      </c>
      <c r="D970" s="1" t="str">
        <f>IFERROR(VLOOKUP(ТабПозиции[[#This Row],[orderNum]],ТабЗаказы[#Data],MATCH(D$7,ТабЗаказы[#Headers],0),0),"")</f>
        <v/>
      </c>
      <c r="E970" s="1" t="str">
        <f>IFERROR(VLOOKUP(ТабПозиции[[#This Row],[orderNum]],ТабЗаказы[#Data],MATCH(E$7,ТабЗаказы[#Headers],0),0),"")</f>
        <v/>
      </c>
      <c r="F970" s="16" t="s">
        <v>1464</v>
      </c>
      <c r="G970" s="40" t="s">
        <v>545</v>
      </c>
      <c r="I970" s="18">
        <v>45566</v>
      </c>
      <c r="J970" s="10">
        <v>1</v>
      </c>
      <c r="K970" s="10">
        <v>164</v>
      </c>
      <c r="L970">
        <v>164</v>
      </c>
      <c r="M970" s="10">
        <v>173</v>
      </c>
      <c r="N970">
        <f t="shared" si="17"/>
        <v>173</v>
      </c>
      <c r="P9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Row],[orderNum]],ТабПозиции[orderSumm])&gt;1500),ABS(N970*VLOOKUP(ТабПозиции[[#This Row],[orderNum]],ТабЗаказы[#Data],MATCH("Percent",ТабЗаказы[#Headers],0),0))/100,200/COUNTIF(ТабПозиции[orderNum],ТабПозиции[[#This Row],[orderNum]])),0),"")</f>
        <v>17</v>
      </c>
      <c r="Q970">
        <f>IF(OR(ТабПозиции[[#This Row],[item]]="По штрихкоду",ТабПозиции[[#This Row],[item]]="Посылка"),ТабПозиции[[#This Row],[deliverySumm]]+ТабПозиции[[#This Row],[deliveryPost]],SUM(N970:P970))</f>
        <v>190</v>
      </c>
      <c r="R970" s="41">
        <v>190</v>
      </c>
      <c r="S970" s="46">
        <f>ТабПозиции[[#This Row],[totalSumm]]-ТабПозиции[[#This Row],[payment]]</f>
        <v>0</v>
      </c>
      <c r="T970" s="18" t="s">
        <v>970</v>
      </c>
      <c r="U970" s="40" t="s">
        <v>545</v>
      </c>
      <c r="V970" s="40" t="s">
        <v>545</v>
      </c>
      <c r="W970" s="40" t="s">
        <v>545</v>
      </c>
      <c r="X970" s="3"/>
      <c r="Y970"/>
    </row>
    <row r="971" spans="1:25" hidden="1" x14ac:dyDescent="0.25">
      <c r="A971" s="10">
        <v>272</v>
      </c>
      <c r="B971" s="1">
        <f>IFERROR(VLOOKUP(ТабПозиции[[#This Row],[orderNum]],ТабЗаказы[#Data],MATCH(B$7,ТабЗаказы[#Headers],0),0),"")</f>
        <v>45565</v>
      </c>
      <c r="C971" t="str">
        <f>MONTH(ТабПозиции[[#This Row],[date]])&amp;"/"&amp;YEAR(ТабПозиции[[#This Row],[date]])</f>
        <v>9/2024</v>
      </c>
      <c r="D971" s="1" t="str">
        <f>IFERROR(VLOOKUP(ТабПозиции[[#This Row],[orderNum]],ТабЗаказы[#Data],MATCH(D$7,ТабЗаказы[#Headers],0),0),"")</f>
        <v/>
      </c>
      <c r="E971" s="1" t="str">
        <f>IFERROR(VLOOKUP(ТабПозиции[[#This Row],[orderNum]],ТабЗаказы[#Data],MATCH(E$7,ТабЗаказы[#Headers],0),0),"")</f>
        <v/>
      </c>
      <c r="F971" s="16" t="s">
        <v>1465</v>
      </c>
      <c r="G971" s="40" t="s">
        <v>545</v>
      </c>
      <c r="I971" s="18">
        <v>45573</v>
      </c>
      <c r="J971" s="10">
        <v>1</v>
      </c>
      <c r="K971" s="10">
        <v>126</v>
      </c>
      <c r="L971">
        <v>126</v>
      </c>
      <c r="M971" s="10">
        <v>133</v>
      </c>
      <c r="N971">
        <f t="shared" si="17"/>
        <v>133</v>
      </c>
      <c r="P9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Row],[orderNum]],ТабПозиции[orderSumm])&gt;1500),ABS(N971*VLOOKUP(ТабПозиции[[#This Row],[orderNum]],ТабЗаказы[#Data],MATCH("Percent",ТабЗаказы[#Headers],0),0))/100,200/COUNTIF(ТабПозиции[orderNum],ТабПозиции[[#This Row],[orderNum]])),0),"")</f>
        <v>13</v>
      </c>
      <c r="Q971">
        <f>IF(OR(ТабПозиции[[#This Row],[item]]="По штрихкоду",ТабПозиции[[#This Row],[item]]="Посылка"),ТабПозиции[[#This Row],[deliverySumm]]+ТабПозиции[[#This Row],[deliveryPost]],SUM(N971:P971))</f>
        <v>146</v>
      </c>
      <c r="R971" s="41">
        <v>146</v>
      </c>
      <c r="S971" s="46">
        <f>ТабПозиции[[#This Row],[totalSumm]]-ТабПозиции[[#This Row],[payment]]</f>
        <v>0</v>
      </c>
      <c r="T971" s="18" t="s">
        <v>970</v>
      </c>
      <c r="U971" s="40" t="s">
        <v>545</v>
      </c>
      <c r="V971" s="40" t="s">
        <v>545</v>
      </c>
      <c r="W971" s="40" t="s">
        <v>545</v>
      </c>
      <c r="X971" s="3"/>
      <c r="Y971"/>
    </row>
    <row r="972" spans="1:25" hidden="1" x14ac:dyDescent="0.25">
      <c r="A972" s="10">
        <v>272</v>
      </c>
      <c r="B972" s="1">
        <f>IFERROR(VLOOKUP(ТабПозиции[[#This Row],[orderNum]],ТабЗаказы[#Data],MATCH(B$7,ТабЗаказы[#Headers],0),0),"")</f>
        <v>45565</v>
      </c>
      <c r="C972" t="str">
        <f>MONTH(ТабПозиции[[#This Row],[date]])&amp;"/"&amp;YEAR(ТабПозиции[[#This Row],[date]])</f>
        <v>9/2024</v>
      </c>
      <c r="D972" s="1" t="str">
        <f>IFERROR(VLOOKUP(ТабПозиции[[#This Row],[orderNum]],ТабЗаказы[#Data],MATCH(D$7,ТабЗаказы[#Headers],0),0),"")</f>
        <v/>
      </c>
      <c r="E972" s="1" t="str">
        <f>IFERROR(VLOOKUP(ТабПозиции[[#This Row],[orderNum]],ТабЗаказы[#Data],MATCH(E$7,ТабЗаказы[#Headers],0),0),"")</f>
        <v/>
      </c>
      <c r="F972" s="16" t="s">
        <v>1468</v>
      </c>
      <c r="G972" s="40" t="s">
        <v>545</v>
      </c>
      <c r="I972" s="18">
        <v>45567</v>
      </c>
      <c r="J972" s="10">
        <v>1</v>
      </c>
      <c r="K972" s="10">
        <v>276</v>
      </c>
      <c r="L972">
        <v>276</v>
      </c>
      <c r="M972" s="10">
        <v>291</v>
      </c>
      <c r="N972">
        <f t="shared" si="17"/>
        <v>291</v>
      </c>
      <c r="P9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Row],[orderNum]],ТабПозиции[orderSumm])&gt;1500),ABS(N972*VLOOKUP(ТабПозиции[[#This Row],[orderNum]],ТабЗаказы[#Data],MATCH("Percent",ТабЗаказы[#Headers],0),0))/100,200/COUNTIF(ТабПозиции[orderNum],ТабПозиции[[#This Row],[orderNum]])),0),"")</f>
        <v>29</v>
      </c>
      <c r="Q972">
        <f>IF(OR(ТабПозиции[[#This Row],[item]]="По штрихкоду",ТабПозиции[[#This Row],[item]]="Посылка"),ТабПозиции[[#This Row],[deliverySumm]]+ТабПозиции[[#This Row],[deliveryPost]],SUM(N972:P972))</f>
        <v>320</v>
      </c>
      <c r="R972" s="41">
        <v>320</v>
      </c>
      <c r="S972" s="46">
        <f>ТабПозиции[[#This Row],[totalSumm]]-ТабПозиции[[#This Row],[payment]]</f>
        <v>0</v>
      </c>
      <c r="T972" s="18" t="s">
        <v>970</v>
      </c>
      <c r="U972" s="40" t="s">
        <v>545</v>
      </c>
      <c r="V972" s="40" t="s">
        <v>545</v>
      </c>
      <c r="W972" s="40" t="s">
        <v>545</v>
      </c>
      <c r="X972" s="3"/>
      <c r="Y972"/>
    </row>
    <row r="973" spans="1:25" hidden="1" x14ac:dyDescent="0.25">
      <c r="A973" s="10">
        <v>272</v>
      </c>
      <c r="B973" s="1">
        <f>IFERROR(VLOOKUP(ТабПозиции[[#This Row],[orderNum]],ТабЗаказы[#Data],MATCH(B$7,ТабЗаказы[#Headers],0),0),"")</f>
        <v>45565</v>
      </c>
      <c r="C973" t="str">
        <f>MONTH(ТабПозиции[[#This Row],[date]])&amp;"/"&amp;YEAR(ТабПозиции[[#This Row],[date]])</f>
        <v>9/2024</v>
      </c>
      <c r="D973" s="1" t="str">
        <f>IFERROR(VLOOKUP(ТабПозиции[[#This Row],[orderNum]],ТабЗаказы[#Data],MATCH(D$7,ТабЗаказы[#Headers],0),0),"")</f>
        <v/>
      </c>
      <c r="E973" s="1" t="str">
        <f>IFERROR(VLOOKUP(ТабПозиции[[#This Row],[orderNum]],ТабЗаказы[#Data],MATCH(E$7,ТабЗаказы[#Headers],0),0),"")</f>
        <v/>
      </c>
      <c r="F973" s="16" t="s">
        <v>1469</v>
      </c>
      <c r="G973" s="40" t="s">
        <v>545</v>
      </c>
      <c r="I973" s="18">
        <v>45566</v>
      </c>
      <c r="J973" s="10">
        <v>1</v>
      </c>
      <c r="K973" s="10">
        <v>1087</v>
      </c>
      <c r="L973">
        <v>1087</v>
      </c>
      <c r="M973" s="10">
        <v>1145</v>
      </c>
      <c r="N973">
        <f t="shared" si="17"/>
        <v>1145</v>
      </c>
      <c r="P9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Row],[orderNum]],ТабПозиции[orderSumm])&gt;1500),ABS(N973*VLOOKUP(ТабПозиции[[#This Row],[orderNum]],ТабЗаказы[#Data],MATCH("Percent",ТабЗаказы[#Headers],0),0))/100,200/COUNTIF(ТабПозиции[orderNum],ТабПозиции[[#This Row],[orderNum]])),0),"")</f>
        <v>115</v>
      </c>
      <c r="Q973">
        <f>IF(OR(ТабПозиции[[#This Row],[item]]="По штрихкоду",ТабПозиции[[#This Row],[item]]="Посылка"),ТабПозиции[[#This Row],[deliverySumm]]+ТабПозиции[[#This Row],[deliveryPost]],SUM(N973:P973))</f>
        <v>1260</v>
      </c>
      <c r="R973" s="41">
        <v>1260</v>
      </c>
      <c r="S973" s="46">
        <f>ТабПозиции[[#This Row],[totalSumm]]-ТабПозиции[[#This Row],[payment]]</f>
        <v>0</v>
      </c>
      <c r="T973" s="18" t="s">
        <v>970</v>
      </c>
      <c r="U973" s="40" t="s">
        <v>545</v>
      </c>
      <c r="V973" s="40" t="s">
        <v>545</v>
      </c>
      <c r="W973" s="40" t="s">
        <v>545</v>
      </c>
      <c r="X973" s="3"/>
      <c r="Y973"/>
    </row>
    <row r="974" spans="1:25" hidden="1" x14ac:dyDescent="0.25">
      <c r="A974" s="10">
        <v>272</v>
      </c>
      <c r="B974" s="1">
        <f>IFERROR(VLOOKUP(ТабПозиции[[#This Row],[orderNum]],ТабЗаказы[#Data],MATCH(B$7,ТабЗаказы[#Headers],0),0),"")</f>
        <v>45565</v>
      </c>
      <c r="C974" t="str">
        <f>MONTH(ТабПозиции[[#This Row],[date]])&amp;"/"&amp;YEAR(ТабПозиции[[#This Row],[date]])</f>
        <v>9/2024</v>
      </c>
      <c r="D974" s="1" t="str">
        <f>IFERROR(VLOOKUP(ТабПозиции[[#This Row],[orderNum]],ТабЗаказы[#Data],MATCH(D$7,ТабЗаказы[#Headers],0),0),"")</f>
        <v/>
      </c>
      <c r="E974" s="1" t="str">
        <f>IFERROR(VLOOKUP(ТабПозиции[[#This Row],[orderNum]],ТабЗаказы[#Data],MATCH(E$7,ТабЗаказы[#Headers],0),0),"")</f>
        <v/>
      </c>
      <c r="F974" s="16" t="s">
        <v>1455</v>
      </c>
      <c r="G974" s="40" t="s">
        <v>545</v>
      </c>
      <c r="I974" s="18">
        <v>45566</v>
      </c>
      <c r="J974" s="10">
        <v>1</v>
      </c>
      <c r="K974" s="10">
        <v>242</v>
      </c>
      <c r="L974">
        <v>242</v>
      </c>
      <c r="M974" s="10">
        <v>242</v>
      </c>
      <c r="N974">
        <f t="shared" si="17"/>
        <v>242</v>
      </c>
      <c r="P9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Row],[orderNum]],ТабПозиции[orderSumm])&gt;1500),ABS(N974*VLOOKUP(ТабПозиции[[#This Row],[orderNum]],ТабЗаказы[#Data],MATCH("Percent",ТабЗаказы[#Headers],0),0))/100,200/COUNTIF(ТабПозиции[orderNum],ТабПозиции[[#This Row],[orderNum]])),0),"")</f>
        <v>24</v>
      </c>
      <c r="Q974">
        <f>IF(OR(ТабПозиции[[#This Row],[item]]="По штрихкоду",ТабПозиции[[#This Row],[item]]="Посылка"),ТабПозиции[[#This Row],[deliverySumm]]+ТабПозиции[[#This Row],[deliveryPost]],SUM(N974:P974))</f>
        <v>266</v>
      </c>
      <c r="R974" s="41">
        <v>266</v>
      </c>
      <c r="S974" s="46">
        <f>ТабПозиции[[#This Row],[totalSumm]]-ТабПозиции[[#This Row],[payment]]</f>
        <v>0</v>
      </c>
      <c r="T974" s="18" t="s">
        <v>1005</v>
      </c>
      <c r="U974" s="40" t="s">
        <v>545</v>
      </c>
      <c r="V974" s="40" t="s">
        <v>545</v>
      </c>
      <c r="W974" s="40" t="s">
        <v>545</v>
      </c>
      <c r="X974" s="3"/>
      <c r="Y974"/>
    </row>
    <row r="975" spans="1:25" hidden="1" x14ac:dyDescent="0.25">
      <c r="A975" s="10">
        <v>272</v>
      </c>
      <c r="B975" s="1">
        <f>IFERROR(VLOOKUP(ТабПозиции[[#This Row],[orderNum]],ТабЗаказы[#Data],MATCH(B$7,ТабЗаказы[#Headers],0),0),"")</f>
        <v>45565</v>
      </c>
      <c r="C975" t="str">
        <f>MONTH(ТабПозиции[[#This Row],[date]])&amp;"/"&amp;YEAR(ТабПозиции[[#This Row],[date]])</f>
        <v>9/2024</v>
      </c>
      <c r="D975" s="1" t="str">
        <f>IFERROR(VLOOKUP(ТабПозиции[[#This Row],[orderNum]],ТабЗаказы[#Data],MATCH(D$7,ТабЗаказы[#Headers],0),0),"")</f>
        <v/>
      </c>
      <c r="E975" s="1" t="str">
        <f>IFERROR(VLOOKUP(ТабПозиции[[#This Row],[orderNum]],ТабЗаказы[#Data],MATCH(E$7,ТабЗаказы[#Headers],0),0),"")</f>
        <v/>
      </c>
      <c r="F975" s="16" t="s">
        <v>1474</v>
      </c>
      <c r="G975" s="40" t="s">
        <v>545</v>
      </c>
      <c r="I975" s="18">
        <v>45568</v>
      </c>
      <c r="J975" s="10">
        <v>3</v>
      </c>
      <c r="K975" s="10">
        <v>622</v>
      </c>
      <c r="L975">
        <v>1866</v>
      </c>
      <c r="M975" s="10">
        <v>655</v>
      </c>
      <c r="N975">
        <f t="shared" si="16"/>
        <v>1965</v>
      </c>
      <c r="P9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Row],[orderNum]],ТабПозиции[orderSumm])&gt;1500),ABS(N975*VLOOKUP(ТабПозиции[[#This Row],[orderNum]],ТабЗаказы[#Data],MATCH("Percent",ТабЗаказы[#Headers],0),0))/100,200/COUNTIF(ТабПозиции[orderNum],ТабПозиции[[#This Row],[orderNum]])),0),"")</f>
        <v>197</v>
      </c>
      <c r="Q975">
        <f>IF(OR(ТабПозиции[[#This Row],[item]]="По штрихкоду",ТабПозиции[[#This Row],[item]]="Посылка"),ТабПозиции[[#This Row],[deliverySumm]]+ТабПозиции[[#This Row],[deliveryPost]],SUM(N975:P975))</f>
        <v>2162</v>
      </c>
      <c r="R975" s="41">
        <v>2162</v>
      </c>
      <c r="S975" s="46">
        <f>ТабПозиции[[#This Row],[totalSumm]]-ТабПозиции[[#This Row],[payment]]</f>
        <v>0</v>
      </c>
      <c r="T975" s="18" t="s">
        <v>970</v>
      </c>
      <c r="U975" s="40" t="s">
        <v>545</v>
      </c>
      <c r="V975" s="40" t="s">
        <v>545</v>
      </c>
      <c r="W975" s="40" t="s">
        <v>545</v>
      </c>
      <c r="X975" s="3"/>
      <c r="Y975"/>
    </row>
    <row r="976" spans="1:25" hidden="1" x14ac:dyDescent="0.25">
      <c r="A976" s="10">
        <v>272</v>
      </c>
      <c r="B976" s="1">
        <f>IFERROR(VLOOKUP(ТабПозиции[[#This Row],[orderNum]],ТабЗаказы[#Data],MATCH(B$7,ТабЗаказы[#Headers],0),0),"")</f>
        <v>45565</v>
      </c>
      <c r="C976" t="str">
        <f>MONTH(ТабПозиции[[#This Row],[date]])&amp;"/"&amp;YEAR(ТабПозиции[[#This Row],[date]])</f>
        <v>9/2024</v>
      </c>
      <c r="D976" s="1" t="str">
        <f>IFERROR(VLOOKUP(ТабПозиции[[#This Row],[orderNum]],ТабЗаказы[#Data],MATCH(D$7,ТабЗаказы[#Headers],0),0),"")</f>
        <v/>
      </c>
      <c r="E976" s="1" t="str">
        <f>IFERROR(VLOOKUP(ТабПозиции[[#This Row],[orderNum]],ТабЗаказы[#Data],MATCH(E$7,ТабЗаказы[#Headers],0),0),"")</f>
        <v/>
      </c>
      <c r="F976" s="16" t="s">
        <v>1476</v>
      </c>
      <c r="G976" s="40" t="s">
        <v>545</v>
      </c>
      <c r="I976" s="18"/>
      <c r="J976" s="10">
        <v>0</v>
      </c>
      <c r="K976" s="10">
        <v>690</v>
      </c>
      <c r="L976">
        <v>0</v>
      </c>
      <c r="M976" s="10">
        <v>690</v>
      </c>
      <c r="N976">
        <f t="shared" si="16"/>
        <v>0</v>
      </c>
      <c r="P9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Row],[orderNum]],ТабПозиции[orderSumm])&gt;1500),ABS(N976*VLOOKUP(ТабПозиции[[#This Row],[orderNum]],ТабЗаказы[#Data],MATCH("Percent",ТабЗаказы[#Headers],0),0))/100,200/COUNTIF(ТабПозиции[orderNum],ТабПозиции[[#This Row],[orderNum]])),0),"")</f>
        <v>0</v>
      </c>
      <c r="Q976">
        <f>IF(OR(ТабПозиции[[#This Row],[item]]="По штрихкоду",ТабПозиции[[#This Row],[item]]="Посылка"),ТабПозиции[[#This Row],[deliverySumm]]+ТабПозиции[[#This Row],[deliveryPost]],SUM(N976:P976))</f>
        <v>0</v>
      </c>
      <c r="S976" s="46">
        <f>ТабПозиции[[#This Row],[totalSumm]]-ТабПозиции[[#This Row],[payment]]</f>
        <v>0</v>
      </c>
      <c r="T976" s="50" t="s">
        <v>1477</v>
      </c>
      <c r="U976" s="40" t="s">
        <v>545</v>
      </c>
      <c r="V976" s="40" t="s">
        <v>545</v>
      </c>
      <c r="W976" s="40" t="s">
        <v>545</v>
      </c>
      <c r="X976" s="3"/>
      <c r="Y976"/>
    </row>
    <row r="977" spans="1:25" hidden="1" x14ac:dyDescent="0.25">
      <c r="A977" s="10">
        <v>272</v>
      </c>
      <c r="B977" s="1">
        <f>IFERROR(VLOOKUP(ТабПозиции[[#This Row],[orderNum]],ТабЗаказы[#Data],MATCH(B$7,ТабЗаказы[#Headers],0),0),"")</f>
        <v>45565</v>
      </c>
      <c r="C977" t="str">
        <f>MONTH(ТабПозиции[[#This Row],[date]])&amp;"/"&amp;YEAR(ТабПозиции[[#This Row],[date]])</f>
        <v>9/2024</v>
      </c>
      <c r="D977" s="1" t="str">
        <f>IFERROR(VLOOKUP(ТабПозиции[[#This Row],[orderNum]],ТабЗаказы[#Data],MATCH(D$7,ТабЗаказы[#Headers],0),0),"")</f>
        <v/>
      </c>
      <c r="E977" s="1" t="str">
        <f>IFERROR(VLOOKUP(ТабПозиции[[#This Row],[orderNum]],ТабЗаказы[#Data],MATCH(E$7,ТабЗаказы[#Headers],0),0),"")</f>
        <v/>
      </c>
      <c r="F977" s="16" t="s">
        <v>1478</v>
      </c>
      <c r="G977" s="40" t="s">
        <v>545</v>
      </c>
      <c r="I977" s="18">
        <v>45570</v>
      </c>
      <c r="J977" s="10">
        <v>1</v>
      </c>
      <c r="K977" s="10">
        <v>1043</v>
      </c>
      <c r="L977">
        <v>1043</v>
      </c>
      <c r="M977" s="10">
        <v>1098</v>
      </c>
      <c r="N977">
        <f t="shared" si="16"/>
        <v>1098</v>
      </c>
      <c r="P9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Row],[orderNum]],ТабПозиции[orderSumm])&gt;1500),ABS(N977*VLOOKUP(ТабПозиции[[#This Row],[orderNum]],ТабЗаказы[#Data],MATCH("Percent",ТабЗаказы[#Headers],0),0))/100,200/COUNTIF(ТабПозиции[orderNum],ТабПозиции[[#This Row],[orderNum]])),0),"")</f>
        <v>110</v>
      </c>
      <c r="Q977">
        <f>IF(OR(ТабПозиции[[#This Row],[item]]="По штрихкоду",ТабПозиции[[#This Row],[item]]="Посылка"),ТабПозиции[[#This Row],[deliverySumm]]+ТабПозиции[[#This Row],[deliveryPost]],SUM(N977:P977))</f>
        <v>1208</v>
      </c>
      <c r="R977" s="41">
        <v>1208</v>
      </c>
      <c r="S977" s="46">
        <f>ТабПозиции[[#This Row],[totalSumm]]-ТабПозиции[[#This Row],[payment]]</f>
        <v>0</v>
      </c>
      <c r="T977" s="18" t="s">
        <v>970</v>
      </c>
      <c r="U977" s="40" t="s">
        <v>545</v>
      </c>
      <c r="V977" s="40" t="s">
        <v>545</v>
      </c>
      <c r="W977" s="40" t="s">
        <v>545</v>
      </c>
      <c r="X977" s="3"/>
      <c r="Y977"/>
    </row>
    <row r="978" spans="1:25" hidden="1" x14ac:dyDescent="0.25">
      <c r="A978" s="10">
        <v>272</v>
      </c>
      <c r="B978" s="1">
        <f>IFERROR(VLOOKUP(ТабПозиции[[#This Row],[orderNum]],ТабЗаказы[#Data],MATCH(B$7,ТабЗаказы[#Headers],0),0),"")</f>
        <v>45565</v>
      </c>
      <c r="C978" t="str">
        <f>MONTH(ТабПозиции[[#This Row],[date]])&amp;"/"&amp;YEAR(ТабПозиции[[#This Row],[date]])</f>
        <v>9/2024</v>
      </c>
      <c r="D978" s="1" t="str">
        <f>IFERROR(VLOOKUP(ТабПозиции[[#This Row],[orderNum]],ТабЗаказы[#Data],MATCH(D$7,ТабЗаказы[#Headers],0),0),"")</f>
        <v/>
      </c>
      <c r="E978" s="1" t="str">
        <f>IFERROR(VLOOKUP(ТабПозиции[[#This Row],[orderNum]],ТабЗаказы[#Data],MATCH(E$7,ТабЗаказы[#Headers],0),0),"")</f>
        <v/>
      </c>
      <c r="F978" s="16" t="s">
        <v>1479</v>
      </c>
      <c r="G978" s="40" t="s">
        <v>545</v>
      </c>
      <c r="I978" s="18">
        <v>45575</v>
      </c>
      <c r="J978" s="10">
        <v>1</v>
      </c>
      <c r="K978" s="10">
        <v>946</v>
      </c>
      <c r="L978">
        <v>946</v>
      </c>
      <c r="M978" s="10">
        <v>1021</v>
      </c>
      <c r="N978">
        <f t="shared" si="16"/>
        <v>1021</v>
      </c>
      <c r="P9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Row],[orderNum]],ТабПозиции[orderSumm])&gt;1500),ABS(N978*VLOOKUP(ТабПозиции[[#This Row],[orderNum]],ТабЗаказы[#Data],MATCH("Percent",ТабЗаказы[#Headers],0),0))/100,200/COUNTIF(ТабПозиции[orderNum],ТабПозиции[[#This Row],[orderNum]])),0),"")</f>
        <v>102</v>
      </c>
      <c r="Q978">
        <f>IF(OR(ТабПозиции[[#This Row],[item]]="По штрихкоду",ТабПозиции[[#This Row],[item]]="Посылка"),ТабПозиции[[#This Row],[deliverySumm]]+ТабПозиции[[#This Row],[deliveryPost]],SUM(N978:P978))</f>
        <v>1123</v>
      </c>
      <c r="R978" s="41">
        <v>1123</v>
      </c>
      <c r="S978" s="46">
        <f>ТабПозиции[[#This Row],[totalSumm]]-ТабПозиции[[#This Row],[payment]]</f>
        <v>0</v>
      </c>
      <c r="T978" s="18" t="s">
        <v>960</v>
      </c>
      <c r="U978" s="40" t="s">
        <v>545</v>
      </c>
      <c r="V978" s="40" t="s">
        <v>545</v>
      </c>
      <c r="W978" s="40" t="s">
        <v>545</v>
      </c>
      <c r="X978" s="3"/>
      <c r="Y978"/>
    </row>
    <row r="979" spans="1:25" hidden="1" x14ac:dyDescent="0.25">
      <c r="A979" s="10">
        <v>272</v>
      </c>
      <c r="B979" s="1">
        <f>IFERROR(VLOOKUP(ТабПозиции[[#This Row],[orderNum]],ТабЗаказы[#Data],MATCH(B$7,ТабЗаказы[#Headers],0),0),"")</f>
        <v>45565</v>
      </c>
      <c r="C979" t="str">
        <f>MONTH(ТабПозиции[[#This Row],[date]])&amp;"/"&amp;YEAR(ТабПозиции[[#This Row],[date]])</f>
        <v>9/2024</v>
      </c>
      <c r="D979" s="1" t="str">
        <f>IFERROR(VLOOKUP(ТабПозиции[[#This Row],[orderNum]],ТабЗаказы[#Data],MATCH(D$7,ТабЗаказы[#Headers],0),0),"")</f>
        <v/>
      </c>
      <c r="E979" s="1" t="str">
        <f>IFERROR(VLOOKUP(ТабПозиции[[#This Row],[orderNum]],ТабЗаказы[#Data],MATCH(E$7,ТабЗаказы[#Headers],0),0),"")</f>
        <v/>
      </c>
      <c r="F979" s="16" t="s">
        <v>1480</v>
      </c>
      <c r="G979" s="40" t="s">
        <v>545</v>
      </c>
      <c r="I979" s="18">
        <v>45575</v>
      </c>
      <c r="J979" s="10">
        <v>1</v>
      </c>
      <c r="K979" s="10">
        <v>630</v>
      </c>
      <c r="L979">
        <v>630</v>
      </c>
      <c r="M979" s="10">
        <v>679</v>
      </c>
      <c r="N979">
        <f t="shared" si="16"/>
        <v>679</v>
      </c>
      <c r="P9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Row],[orderNum]],ТабПозиции[orderSumm])&gt;1500),ABS(N979*VLOOKUP(ТабПозиции[[#This Row],[orderNum]],ТабЗаказы[#Data],MATCH("Percent",ТабЗаказы[#Headers],0),0))/100,200/COUNTIF(ТабПозиции[orderNum],ТабПозиции[[#This Row],[orderNum]])),0),"")</f>
        <v>68</v>
      </c>
      <c r="Q979">
        <f>IF(OR(ТабПозиции[[#This Row],[item]]="По штрихкоду",ТабПозиции[[#This Row],[item]]="Посылка"),ТабПозиции[[#This Row],[deliverySumm]]+ТабПозиции[[#This Row],[deliveryPost]],SUM(N979:P979))</f>
        <v>747</v>
      </c>
      <c r="R979" s="41">
        <v>747</v>
      </c>
      <c r="S979" s="46">
        <f>ТабПозиции[[#This Row],[totalSumm]]-ТабПозиции[[#This Row],[payment]]</f>
        <v>0</v>
      </c>
      <c r="T979" s="18" t="s">
        <v>960</v>
      </c>
      <c r="U979" s="40" t="s">
        <v>545</v>
      </c>
      <c r="V979" s="40" t="s">
        <v>545</v>
      </c>
      <c r="W979" s="40" t="s">
        <v>545</v>
      </c>
      <c r="X979" s="3"/>
      <c r="Y979"/>
    </row>
    <row r="980" spans="1:25" hidden="1" x14ac:dyDescent="0.25">
      <c r="A980" s="10">
        <v>272</v>
      </c>
      <c r="B980" s="1">
        <f>IFERROR(VLOOKUP(ТабПозиции[[#This Row],[orderNum]],ТабЗаказы[#Data],MATCH(B$7,ТабЗаказы[#Headers],0),0),"")</f>
        <v>45565</v>
      </c>
      <c r="C980" t="str">
        <f>MONTH(ТабПозиции[[#This Row],[date]])&amp;"/"&amp;YEAR(ТабПозиции[[#This Row],[date]])</f>
        <v>9/2024</v>
      </c>
      <c r="D980" s="1" t="str">
        <f>IFERROR(VLOOKUP(ТабПозиции[[#This Row],[orderNum]],ТабЗаказы[#Data],MATCH(D$7,ТабЗаказы[#Headers],0),0),"")</f>
        <v/>
      </c>
      <c r="E980" s="1" t="str">
        <f>IFERROR(VLOOKUP(ТабПозиции[[#This Row],[orderNum]],ТабЗаказы[#Data],MATCH(E$7,ТабЗаказы[#Headers],0),0),"")</f>
        <v/>
      </c>
      <c r="F980" s="16" t="s">
        <v>1481</v>
      </c>
      <c r="G980" s="40" t="s">
        <v>545</v>
      </c>
      <c r="I980" s="18">
        <v>45577</v>
      </c>
      <c r="J980" s="10">
        <v>1</v>
      </c>
      <c r="K980" s="10">
        <v>199</v>
      </c>
      <c r="L980">
        <v>199</v>
      </c>
      <c r="M980" s="10">
        <v>199</v>
      </c>
      <c r="N980">
        <f t="shared" si="16"/>
        <v>199</v>
      </c>
      <c r="P9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Row],[orderNum]],ТабПозиции[orderSumm])&gt;1500),ABS(N980*VLOOKUP(ТабПозиции[[#This Row],[orderNum]],ТабЗаказы[#Data],MATCH("Percent",ТабЗаказы[#Headers],0),0))/100,200/COUNTIF(ТабПозиции[orderNum],ТабПозиции[[#This Row],[orderNum]])),0),"")</f>
        <v>20</v>
      </c>
      <c r="Q980">
        <f>IF(OR(ТабПозиции[[#This Row],[item]]="По штрихкоду",ТабПозиции[[#This Row],[item]]="Посылка"),ТабПозиции[[#This Row],[deliverySumm]]+ТабПозиции[[#This Row],[deliveryPost]],SUM(N980:P980))</f>
        <v>219</v>
      </c>
      <c r="R980" s="41">
        <v>219</v>
      </c>
      <c r="S980" s="46">
        <f>ТабПозиции[[#This Row],[totalSumm]]-ТабПозиции[[#This Row],[payment]]</f>
        <v>0</v>
      </c>
      <c r="T980" s="18" t="s">
        <v>1067</v>
      </c>
      <c r="U980" s="40" t="s">
        <v>545</v>
      </c>
      <c r="V980" s="40" t="s">
        <v>545</v>
      </c>
      <c r="W980" s="40" t="s">
        <v>545</v>
      </c>
      <c r="X980" s="3"/>
      <c r="Y980"/>
    </row>
    <row r="981" spans="1:25" hidden="1" x14ac:dyDescent="0.25">
      <c r="A981" s="10">
        <v>272</v>
      </c>
      <c r="B981" s="1">
        <f>IFERROR(VLOOKUP(ТабПозиции[[#This Row],[orderNum]],ТабЗаказы[#Data],MATCH(B$7,ТабЗаказы[#Headers],0),0),"")</f>
        <v>45565</v>
      </c>
      <c r="C981" t="str">
        <f>MONTH(ТабПозиции[[#This Row],[date]])&amp;"/"&amp;YEAR(ТабПозиции[[#This Row],[date]])</f>
        <v>9/2024</v>
      </c>
      <c r="D981" s="1" t="str">
        <f>IFERROR(VLOOKUP(ТабПозиции[[#This Row],[orderNum]],ТабЗаказы[#Data],MATCH(D$7,ТабЗаказы[#Headers],0),0),"")</f>
        <v/>
      </c>
      <c r="E981" s="1" t="str">
        <f>IFERROR(VLOOKUP(ТабПозиции[[#This Row],[orderNum]],ТабЗаказы[#Data],MATCH(E$7,ТабЗаказы[#Headers],0),0),"")</f>
        <v/>
      </c>
      <c r="F981" s="16" t="s">
        <v>1482</v>
      </c>
      <c r="G981" s="40" t="s">
        <v>545</v>
      </c>
      <c r="I981" s="18">
        <v>45569</v>
      </c>
      <c r="J981" s="10">
        <v>1</v>
      </c>
      <c r="K981" s="10">
        <v>195</v>
      </c>
      <c r="L981">
        <v>195</v>
      </c>
      <c r="M981" s="10">
        <v>199</v>
      </c>
      <c r="N981">
        <f t="shared" si="16"/>
        <v>199</v>
      </c>
      <c r="P9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Row],[orderNum]],ТабПозиции[orderSumm])&gt;1500),ABS(N981*VLOOKUP(ТабПозиции[[#This Row],[orderNum]],ТабЗаказы[#Data],MATCH("Percent",ТабЗаказы[#Headers],0),0))/100,200/COUNTIF(ТабПозиции[orderNum],ТабПозиции[[#This Row],[orderNum]])),0),"")</f>
        <v>20</v>
      </c>
      <c r="Q981">
        <f>IF(OR(ТабПозиции[[#This Row],[item]]="По штрихкоду",ТабПозиции[[#This Row],[item]]="Посылка"),ТабПозиции[[#This Row],[deliverySumm]]+ТабПозиции[[#This Row],[deliveryPost]],SUM(N981:P981))</f>
        <v>219</v>
      </c>
      <c r="R981" s="41">
        <v>219</v>
      </c>
      <c r="S981" s="46">
        <f>ТабПозиции[[#This Row],[totalSumm]]-ТабПозиции[[#This Row],[payment]]</f>
        <v>0</v>
      </c>
      <c r="T981" s="18" t="s">
        <v>960</v>
      </c>
      <c r="U981" s="40" t="s">
        <v>545</v>
      </c>
      <c r="V981" s="40" t="s">
        <v>545</v>
      </c>
      <c r="W981" s="40" t="s">
        <v>545</v>
      </c>
      <c r="X981" s="3"/>
      <c r="Y981"/>
    </row>
    <row r="982" spans="1:25" hidden="1" x14ac:dyDescent="0.25">
      <c r="A982" s="10">
        <v>273</v>
      </c>
      <c r="B982" s="1">
        <f>IFERROR(VLOOKUP(ТабПозиции[[#This Row],[orderNum]],ТабЗаказы[#Data],MATCH(B$7,ТабЗаказы[#Headers],0),0),"")</f>
        <v>45568</v>
      </c>
      <c r="C982" t="str">
        <f>MONTH(ТабПозиции[[#This Row],[date]])&amp;"/"&amp;YEAR(ТабПозиции[[#This Row],[date]])</f>
        <v>10/2024</v>
      </c>
      <c r="D982" s="1" t="str">
        <f>IFERROR(VLOOKUP(ТабПозиции[[#This Row],[orderNum]],ТабЗаказы[#Data],MATCH(D$7,ТабЗаказы[#Headers],0),0),"")</f>
        <v/>
      </c>
      <c r="E982" s="1" t="str">
        <f>IFERROR(VLOOKUP(ТабПозиции[[#This Row],[orderNum]],ТабЗаказы[#Data],MATCH(E$7,ТабЗаказы[#Headers],0),0),"")</f>
        <v/>
      </c>
      <c r="F982" s="16" t="s">
        <v>1483</v>
      </c>
      <c r="G982" s="40" t="s">
        <v>545</v>
      </c>
      <c r="I982" s="18">
        <v>45570</v>
      </c>
      <c r="J982" s="10">
        <v>1</v>
      </c>
      <c r="K982" s="10">
        <v>185</v>
      </c>
      <c r="L982">
        <v>185</v>
      </c>
      <c r="M982" s="10">
        <v>189</v>
      </c>
      <c r="N982">
        <f t="shared" si="16"/>
        <v>189</v>
      </c>
      <c r="P9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Row],[orderNum]],ТабПозиции[orderSumm])&gt;1500),ABS(N982*VLOOKUP(ТабПозиции[[#This Row],[orderNum]],ТабЗаказы[#Data],MATCH("Percent",ТабЗаказы[#Headers],0),0))/100,200/COUNTIF(ТабПозиции[orderNum],ТабПозиции[[#This Row],[orderNum]])),0),"")</f>
        <v>28</v>
      </c>
      <c r="Q982">
        <f>IF(OR(ТабПозиции[[#This Row],[item]]="По штрихкоду",ТабПозиции[[#This Row],[item]]="Посылка"),ТабПозиции[[#This Row],[deliverySumm]]+ТабПозиции[[#This Row],[deliveryPost]],SUM(N982:P982))</f>
        <v>217</v>
      </c>
      <c r="R982" s="41">
        <v>217</v>
      </c>
      <c r="S982" s="46">
        <f>ТабПозиции[[#This Row],[totalSumm]]-ТабПозиции[[#This Row],[payment]]</f>
        <v>0</v>
      </c>
      <c r="T982" s="18" t="s">
        <v>960</v>
      </c>
      <c r="U982" s="40" t="s">
        <v>545</v>
      </c>
      <c r="V982" s="40" t="s">
        <v>545</v>
      </c>
      <c r="W982" s="40" t="s">
        <v>545</v>
      </c>
      <c r="X982" s="3"/>
      <c r="Y982"/>
    </row>
    <row r="983" spans="1:25" hidden="1" x14ac:dyDescent="0.25">
      <c r="A983" s="10">
        <v>273</v>
      </c>
      <c r="B983" s="1">
        <f>IFERROR(VLOOKUP(ТабПозиции[[#This Row],[orderNum]],ТабЗаказы[#Data],MATCH(B$7,ТабЗаказы[#Headers],0),0),"")</f>
        <v>45568</v>
      </c>
      <c r="C983" t="str">
        <f>MONTH(ТабПозиции[[#This Row],[date]])&amp;"/"&amp;YEAR(ТабПозиции[[#This Row],[date]])</f>
        <v>10/2024</v>
      </c>
      <c r="D983" s="1" t="str">
        <f>IFERROR(VLOOKUP(ТабПозиции[[#This Row],[orderNum]],ТабЗаказы[#Data],MATCH(D$7,ТабЗаказы[#Headers],0),0),"")</f>
        <v/>
      </c>
      <c r="E983" s="1" t="str">
        <f>IFERROR(VLOOKUP(ТабПозиции[[#This Row],[orderNum]],ТабЗаказы[#Data],MATCH(E$7,ТабЗаказы[#Headers],0),0),"")</f>
        <v/>
      </c>
      <c r="F983" s="16" t="s">
        <v>1484</v>
      </c>
      <c r="G983" s="40" t="s">
        <v>545</v>
      </c>
      <c r="I983" s="18">
        <v>45570</v>
      </c>
      <c r="J983" s="10">
        <v>1</v>
      </c>
      <c r="K983" s="10">
        <v>197</v>
      </c>
      <c r="L983">
        <v>197</v>
      </c>
      <c r="M983" s="10">
        <v>208</v>
      </c>
      <c r="N983">
        <f t="shared" si="16"/>
        <v>208</v>
      </c>
      <c r="P9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Row],[orderNum]],ТабПозиции[orderSumm])&gt;1500),ABS(N983*VLOOKUP(ТабПозиции[[#This Row],[orderNum]],ТабЗаказы[#Data],MATCH("Percent",ТабЗаказы[#Headers],0),0))/100,200/COUNTIF(ТабПозиции[orderNum],ТабПозиции[[#This Row],[orderNum]])),0),"")</f>
        <v>31</v>
      </c>
      <c r="Q983">
        <f>IF(OR(ТабПозиции[[#This Row],[item]]="По штрихкоду",ТабПозиции[[#This Row],[item]]="Посылка"),ТабПозиции[[#This Row],[deliverySumm]]+ТабПозиции[[#This Row],[deliveryPost]],SUM(N983:P983))</f>
        <v>239</v>
      </c>
      <c r="R983" s="41">
        <v>239</v>
      </c>
      <c r="S983" s="46">
        <f>ТабПозиции[[#This Row],[totalSumm]]-ТабПозиции[[#This Row],[payment]]</f>
        <v>0</v>
      </c>
      <c r="T983" s="18" t="s">
        <v>970</v>
      </c>
      <c r="U983" s="40" t="s">
        <v>545</v>
      </c>
      <c r="V983" s="40" t="s">
        <v>545</v>
      </c>
      <c r="W983" s="40" t="s">
        <v>545</v>
      </c>
      <c r="X983" s="3"/>
      <c r="Y983"/>
    </row>
    <row r="984" spans="1:25" hidden="1" x14ac:dyDescent="0.25">
      <c r="A984" s="10">
        <v>273</v>
      </c>
      <c r="B984" s="1">
        <f>IFERROR(VLOOKUP(ТабПозиции[[#This Row],[orderNum]],ТабЗаказы[#Data],MATCH(B$7,ТабЗаказы[#Headers],0),0),"")</f>
        <v>45568</v>
      </c>
      <c r="C984" t="str">
        <f>MONTH(ТабПозиции[[#This Row],[date]])&amp;"/"&amp;YEAR(ТабПозиции[[#This Row],[date]])</f>
        <v>10/2024</v>
      </c>
      <c r="D984" s="1" t="str">
        <f>IFERROR(VLOOKUP(ТабПозиции[[#This Row],[orderNum]],ТабЗаказы[#Data],MATCH(D$7,ТабЗаказы[#Headers],0),0),"")</f>
        <v/>
      </c>
      <c r="E984" s="1" t="str">
        <f>IFERROR(VLOOKUP(ТабПозиции[[#This Row],[orderNum]],ТабЗаказы[#Data],MATCH(E$7,ТабЗаказы[#Headers],0),0),"")</f>
        <v/>
      </c>
      <c r="F984" s="16" t="s">
        <v>1485</v>
      </c>
      <c r="G984" s="40" t="s">
        <v>545</v>
      </c>
      <c r="I984" s="18">
        <v>45570</v>
      </c>
      <c r="J984" s="10">
        <v>1</v>
      </c>
      <c r="K984" s="10">
        <v>754</v>
      </c>
      <c r="L984">
        <v>754</v>
      </c>
      <c r="M984" s="10">
        <v>794</v>
      </c>
      <c r="N984">
        <f t="shared" si="16"/>
        <v>794</v>
      </c>
      <c r="P9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Row],[orderNum]],ТабПозиции[orderSumm])&gt;1500),ABS(N984*VLOOKUP(ТабПозиции[[#This Row],[orderNum]],ТабЗаказы[#Data],MATCH("Percent",ТабЗаказы[#Headers],0),0))/100,200/COUNTIF(ТабПозиции[orderNum],ТабПозиции[[#This Row],[orderNum]])),0),"")</f>
        <v>119</v>
      </c>
      <c r="Q984">
        <f>IF(OR(ТабПозиции[[#This Row],[item]]="По штрихкоду",ТабПозиции[[#This Row],[item]]="Посылка"),ТабПозиции[[#This Row],[deliverySumm]]+ТабПозиции[[#This Row],[deliveryPost]],SUM(N984:P984))</f>
        <v>913</v>
      </c>
      <c r="R984" s="41">
        <v>913</v>
      </c>
      <c r="S984" s="46">
        <f>ТабПозиции[[#This Row],[totalSumm]]-ТабПозиции[[#This Row],[payment]]</f>
        <v>0</v>
      </c>
      <c r="T984" s="18" t="s">
        <v>970</v>
      </c>
      <c r="U984" s="40" t="s">
        <v>545</v>
      </c>
      <c r="V984" s="40" t="s">
        <v>545</v>
      </c>
      <c r="W984" s="40" t="s">
        <v>545</v>
      </c>
      <c r="X984" s="3"/>
      <c r="Y984"/>
    </row>
    <row r="985" spans="1:25" hidden="1" x14ac:dyDescent="0.25">
      <c r="A985" s="10">
        <v>273</v>
      </c>
      <c r="B985" s="1">
        <f>IFERROR(VLOOKUP(ТабПозиции[[#This Row],[orderNum]],ТабЗаказы[#Data],MATCH(B$7,ТабЗаказы[#Headers],0),0),"")</f>
        <v>45568</v>
      </c>
      <c r="C985" t="str">
        <f>MONTH(ТабПозиции[[#This Row],[date]])&amp;"/"&amp;YEAR(ТабПозиции[[#This Row],[date]])</f>
        <v>10/2024</v>
      </c>
      <c r="D985" s="1" t="str">
        <f>IFERROR(VLOOKUP(ТабПозиции[[#This Row],[orderNum]],ТабЗаказы[#Data],MATCH(D$7,ТабЗаказы[#Headers],0),0),"")</f>
        <v/>
      </c>
      <c r="E985" s="1" t="str">
        <f>IFERROR(VLOOKUP(ТабПозиции[[#This Row],[orderNum]],ТабЗаказы[#Data],MATCH(E$7,ТабЗаказы[#Headers],0),0),"")</f>
        <v/>
      </c>
      <c r="F985" s="16" t="s">
        <v>1486</v>
      </c>
      <c r="G985" s="40" t="s">
        <v>545</v>
      </c>
      <c r="I985" s="18">
        <v>45571</v>
      </c>
      <c r="J985" s="10">
        <v>1</v>
      </c>
      <c r="K985" s="10">
        <v>291</v>
      </c>
      <c r="L985">
        <v>291</v>
      </c>
      <c r="M985" s="10">
        <v>307</v>
      </c>
      <c r="N985">
        <f t="shared" ref="N985:N1048" si="18">M985*J985</f>
        <v>307</v>
      </c>
      <c r="P9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Row],[orderNum]],ТабПозиции[orderSumm])&gt;1500),ABS(N985*VLOOKUP(ТабПозиции[[#This Row],[orderNum]],ТабЗаказы[#Data],MATCH("Percent",ТабЗаказы[#Headers],0),0))/100,200/COUNTIF(ТабПозиции[orderNum],ТабПозиции[[#This Row],[orderNum]])),0),"")</f>
        <v>46</v>
      </c>
      <c r="Q985">
        <f>IF(OR(ТабПозиции[[#This Row],[item]]="По штрихкоду",ТабПозиции[[#This Row],[item]]="Посылка"),ТабПозиции[[#This Row],[deliverySumm]]+ТабПозиции[[#This Row],[deliveryPost]],SUM(N985:P985))</f>
        <v>353</v>
      </c>
      <c r="R985" s="41">
        <v>353</v>
      </c>
      <c r="S985" s="46">
        <f>ТабПозиции[[#This Row],[totalSumm]]-ТабПозиции[[#This Row],[payment]]</f>
        <v>0</v>
      </c>
      <c r="T985" s="18" t="s">
        <v>970</v>
      </c>
      <c r="U985" s="40" t="s">
        <v>545</v>
      </c>
      <c r="V985" s="40" t="s">
        <v>545</v>
      </c>
      <c r="W985" s="40" t="s">
        <v>545</v>
      </c>
      <c r="X985" s="3"/>
      <c r="Y985"/>
    </row>
    <row r="986" spans="1:25" hidden="1" x14ac:dyDescent="0.25">
      <c r="A986" s="10">
        <v>273</v>
      </c>
      <c r="B986" s="1">
        <f>IFERROR(VLOOKUP(ТабПозиции[[#This Row],[orderNum]],ТабЗаказы[#Data],MATCH(B$7,ТабЗаказы[#Headers],0),0),"")</f>
        <v>45568</v>
      </c>
      <c r="C986" t="str">
        <f>MONTH(ТабПозиции[[#This Row],[date]])&amp;"/"&amp;YEAR(ТабПозиции[[#This Row],[date]])</f>
        <v>10/2024</v>
      </c>
      <c r="D986" s="1" t="str">
        <f>IFERROR(VLOOKUP(ТабПозиции[[#This Row],[orderNum]],ТабЗаказы[#Data],MATCH(D$7,ТабЗаказы[#Headers],0),0),"")</f>
        <v/>
      </c>
      <c r="E986" s="1" t="str">
        <f>IFERROR(VLOOKUP(ТабПозиции[[#This Row],[orderNum]],ТабЗаказы[#Data],MATCH(E$7,ТабЗаказы[#Headers],0),0),"")</f>
        <v/>
      </c>
      <c r="F986" s="16" t="s">
        <v>1487</v>
      </c>
      <c r="G986" s="40" t="s">
        <v>545</v>
      </c>
      <c r="I986" s="18">
        <v>45570</v>
      </c>
      <c r="J986" s="10">
        <v>1</v>
      </c>
      <c r="K986" s="10">
        <v>159</v>
      </c>
      <c r="L986">
        <v>159</v>
      </c>
      <c r="M986" s="10">
        <v>168</v>
      </c>
      <c r="N986">
        <f t="shared" si="18"/>
        <v>168</v>
      </c>
      <c r="P9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Row],[orderNum]],ТабПозиции[orderSumm])&gt;1500),ABS(N986*VLOOKUP(ТабПозиции[[#This Row],[orderNum]],ТабЗаказы[#Data],MATCH("Percent",ТабЗаказы[#Headers],0),0))/100,200/COUNTIF(ТабПозиции[orderNum],ТабПозиции[[#This Row],[orderNum]])),0),"")</f>
        <v>25</v>
      </c>
      <c r="Q986">
        <f>IF(OR(ТабПозиции[[#This Row],[item]]="По штрихкоду",ТабПозиции[[#This Row],[item]]="Посылка"),ТабПозиции[[#This Row],[deliverySumm]]+ТабПозиции[[#This Row],[deliveryPost]],SUM(N986:P986))</f>
        <v>193</v>
      </c>
      <c r="R986" s="41">
        <v>193</v>
      </c>
      <c r="S986" s="46">
        <f>ТабПозиции[[#This Row],[totalSumm]]-ТабПозиции[[#This Row],[payment]]</f>
        <v>0</v>
      </c>
      <c r="T986" s="18" t="s">
        <v>970</v>
      </c>
      <c r="U986" s="40" t="s">
        <v>545</v>
      </c>
      <c r="V986" s="40" t="s">
        <v>545</v>
      </c>
      <c r="W986" s="40" t="s">
        <v>545</v>
      </c>
      <c r="X986" s="3"/>
      <c r="Y986"/>
    </row>
    <row r="987" spans="1:25" hidden="1" x14ac:dyDescent="0.25">
      <c r="A987" s="10">
        <v>273</v>
      </c>
      <c r="B987" s="1">
        <f>IFERROR(VLOOKUP(ТабПозиции[[#This Row],[orderNum]],ТабЗаказы[#Data],MATCH(B$7,ТабЗаказы[#Headers],0),0),"")</f>
        <v>45568</v>
      </c>
      <c r="C987" t="str">
        <f>MONTH(ТабПозиции[[#This Row],[date]])&amp;"/"&amp;YEAR(ТабПозиции[[#This Row],[date]])</f>
        <v>10/2024</v>
      </c>
      <c r="D987" s="1" t="str">
        <f>IFERROR(VLOOKUP(ТабПозиции[[#This Row],[orderNum]],ТабЗаказы[#Data],MATCH(D$7,ТабЗаказы[#Headers],0),0),"")</f>
        <v/>
      </c>
      <c r="E987" s="1" t="str">
        <f>IFERROR(VLOOKUP(ТабПозиции[[#This Row],[orderNum]],ТабЗаказы[#Data],MATCH(E$7,ТабЗаказы[#Headers],0),0),"")</f>
        <v/>
      </c>
      <c r="F987" s="16" t="s">
        <v>1488</v>
      </c>
      <c r="G987" s="40" t="s">
        <v>545</v>
      </c>
      <c r="I987" s="18">
        <v>45570</v>
      </c>
      <c r="J987" s="10">
        <v>1</v>
      </c>
      <c r="K987" s="10">
        <v>1035</v>
      </c>
      <c r="L987">
        <v>1035</v>
      </c>
      <c r="M987" s="10">
        <v>1090</v>
      </c>
      <c r="N987">
        <f t="shared" si="18"/>
        <v>1090</v>
      </c>
      <c r="P9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Row],[orderNum]],ТабПозиции[orderSumm])&gt;1500),ABS(N987*VLOOKUP(ТабПозиции[[#This Row],[orderNum]],ТабЗаказы[#Data],MATCH("Percent",ТабЗаказы[#Headers],0),0))/100,200/COUNTIF(ТабПозиции[orderNum],ТабПозиции[[#This Row],[orderNum]])),0),"")</f>
        <v>164</v>
      </c>
      <c r="Q987">
        <f>IF(OR(ТабПозиции[[#This Row],[item]]="По штрихкоду",ТабПозиции[[#This Row],[item]]="Посылка"),ТабПозиции[[#This Row],[deliverySumm]]+ТабПозиции[[#This Row],[deliveryPost]],SUM(N987:P987))</f>
        <v>1254</v>
      </c>
      <c r="R987" s="41">
        <v>1254</v>
      </c>
      <c r="S987" s="46">
        <f>ТабПозиции[[#This Row],[totalSumm]]-ТабПозиции[[#This Row],[payment]]</f>
        <v>0</v>
      </c>
      <c r="T987" s="18" t="s">
        <v>970</v>
      </c>
      <c r="U987" s="40" t="s">
        <v>545</v>
      </c>
      <c r="V987" s="40" t="s">
        <v>545</v>
      </c>
      <c r="W987" s="40" t="s">
        <v>545</v>
      </c>
      <c r="X987" s="3"/>
      <c r="Y987"/>
    </row>
    <row r="988" spans="1:25" hidden="1" x14ac:dyDescent="0.25">
      <c r="A988" s="10">
        <v>273</v>
      </c>
      <c r="B988" s="1">
        <f>IFERROR(VLOOKUP(ТабПозиции[[#This Row],[orderNum]],ТабЗаказы[#Data],MATCH(B$7,ТабЗаказы[#Headers],0),0),"")</f>
        <v>45568</v>
      </c>
      <c r="C988" t="str">
        <f>MONTH(ТабПозиции[[#This Row],[date]])&amp;"/"&amp;YEAR(ТабПозиции[[#This Row],[date]])</f>
        <v>10/2024</v>
      </c>
      <c r="D988" s="1" t="str">
        <f>IFERROR(VLOOKUP(ТабПозиции[[#This Row],[orderNum]],ТабЗаказы[#Data],MATCH(D$7,ТабЗаказы[#Headers],0),0),"")</f>
        <v/>
      </c>
      <c r="E988" s="1" t="str">
        <f>IFERROR(VLOOKUP(ТабПозиции[[#This Row],[orderNum]],ТабЗаказы[#Data],MATCH(E$7,ТабЗаказы[#Headers],0),0),"")</f>
        <v/>
      </c>
      <c r="F988" s="16" t="s">
        <v>1489</v>
      </c>
      <c r="G988" s="40" t="s">
        <v>545</v>
      </c>
      <c r="I988" s="18">
        <v>45570</v>
      </c>
      <c r="J988" s="10">
        <v>1</v>
      </c>
      <c r="K988" s="10">
        <v>322</v>
      </c>
      <c r="L988">
        <v>322</v>
      </c>
      <c r="M988" s="10">
        <v>339</v>
      </c>
      <c r="N988">
        <f t="shared" si="18"/>
        <v>339</v>
      </c>
      <c r="P9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Row],[orderNum]],ТабПозиции[orderSumm])&gt;1500),ABS(N988*VLOOKUP(ТабПозиции[[#This Row],[orderNum]],ТабЗаказы[#Data],MATCH("Percent",ТабЗаказы[#Headers],0),0))/100,200/COUNTIF(ТабПозиции[orderNum],ТабПозиции[[#This Row],[orderNum]])),0),"")</f>
        <v>51</v>
      </c>
      <c r="Q988">
        <f>IF(OR(ТабПозиции[[#This Row],[item]]="По штрихкоду",ТабПозиции[[#This Row],[item]]="Посылка"),ТабПозиции[[#This Row],[deliverySumm]]+ТабПозиции[[#This Row],[deliveryPost]],SUM(N988:P988))</f>
        <v>390</v>
      </c>
      <c r="R988" s="41">
        <v>390</v>
      </c>
      <c r="S988" s="46">
        <f>ТабПозиции[[#This Row],[totalSumm]]-ТабПозиции[[#This Row],[payment]]</f>
        <v>0</v>
      </c>
      <c r="T988" s="18" t="s">
        <v>970</v>
      </c>
      <c r="U988" s="40" t="s">
        <v>545</v>
      </c>
      <c r="V988" s="40" t="s">
        <v>545</v>
      </c>
      <c r="W988" s="40" t="s">
        <v>545</v>
      </c>
      <c r="X988" s="3"/>
      <c r="Y988"/>
    </row>
    <row r="989" spans="1:25" hidden="1" x14ac:dyDescent="0.25">
      <c r="A989" s="10">
        <v>273</v>
      </c>
      <c r="B989" s="1">
        <f>IFERROR(VLOOKUP(ТабПозиции[[#This Row],[orderNum]],ТабЗаказы[#Data],MATCH(B$7,ТабЗаказы[#Headers],0),0),"")</f>
        <v>45568</v>
      </c>
      <c r="C989" t="str">
        <f>MONTH(ТабПозиции[[#This Row],[date]])&amp;"/"&amp;YEAR(ТабПозиции[[#This Row],[date]])</f>
        <v>10/2024</v>
      </c>
      <c r="D989" s="1" t="str">
        <f>IFERROR(VLOOKUP(ТабПозиции[[#This Row],[orderNum]],ТабЗаказы[#Data],MATCH(D$7,ТабЗаказы[#Headers],0),0),"")</f>
        <v/>
      </c>
      <c r="E989" s="1" t="str">
        <f>IFERROR(VLOOKUP(ТабПозиции[[#This Row],[orderNum]],ТабЗаказы[#Data],MATCH(E$7,ТабЗаказы[#Headers],0),0),"")</f>
        <v/>
      </c>
      <c r="F989" s="16" t="s">
        <v>1490</v>
      </c>
      <c r="G989" s="40" t="s">
        <v>545</v>
      </c>
      <c r="I989" s="18">
        <v>45570</v>
      </c>
      <c r="J989" s="10">
        <v>1</v>
      </c>
      <c r="K989" s="10">
        <v>233</v>
      </c>
      <c r="L989">
        <v>233</v>
      </c>
      <c r="M989" s="10">
        <v>246</v>
      </c>
      <c r="N989">
        <f t="shared" si="18"/>
        <v>246</v>
      </c>
      <c r="P9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Row],[orderNum]],ТабПозиции[orderSumm])&gt;1500),ABS(N989*VLOOKUP(ТабПозиции[[#This Row],[orderNum]],ТабЗаказы[#Data],MATCH("Percent",ТабЗаказы[#Headers],0),0))/100,200/COUNTIF(ТабПозиции[orderNum],ТабПозиции[[#This Row],[orderNum]])),0),"")</f>
        <v>37</v>
      </c>
      <c r="Q989">
        <f>IF(OR(ТабПозиции[[#This Row],[item]]="По штрихкоду",ТабПозиции[[#This Row],[item]]="Посылка"),ТабПозиции[[#This Row],[deliverySumm]]+ТабПозиции[[#This Row],[deliveryPost]],SUM(N989:P989))</f>
        <v>283</v>
      </c>
      <c r="R989" s="41">
        <v>283</v>
      </c>
      <c r="S989" s="46">
        <f>ТабПозиции[[#This Row],[totalSumm]]-ТабПозиции[[#This Row],[payment]]</f>
        <v>0</v>
      </c>
      <c r="T989" s="18" t="s">
        <v>970</v>
      </c>
      <c r="U989" s="40" t="s">
        <v>545</v>
      </c>
      <c r="V989" s="40" t="s">
        <v>545</v>
      </c>
      <c r="W989" s="40" t="s">
        <v>545</v>
      </c>
      <c r="X989" s="3"/>
      <c r="Y989"/>
    </row>
    <row r="990" spans="1:25" hidden="1" x14ac:dyDescent="0.25">
      <c r="A990" s="10">
        <v>273</v>
      </c>
      <c r="B990" s="1">
        <f>IFERROR(VLOOKUP(ТабПозиции[[#This Row],[orderNum]],ТабЗаказы[#Data],MATCH(B$7,ТабЗаказы[#Headers],0),0),"")</f>
        <v>45568</v>
      </c>
      <c r="C990" t="str">
        <f>MONTH(ТабПозиции[[#This Row],[date]])&amp;"/"&amp;YEAR(ТабПозиции[[#This Row],[date]])</f>
        <v>10/2024</v>
      </c>
      <c r="D990" s="1" t="str">
        <f>IFERROR(VLOOKUP(ТабПозиции[[#This Row],[orderNum]],ТабЗаказы[#Data],MATCH(D$7,ТабЗаказы[#Headers],0),0),"")</f>
        <v/>
      </c>
      <c r="E990" s="1" t="str">
        <f>IFERROR(VLOOKUP(ТабПозиции[[#This Row],[orderNum]],ТабЗаказы[#Data],MATCH(E$7,ТабЗаказы[#Headers],0),0),"")</f>
        <v/>
      </c>
      <c r="F990" s="16" t="s">
        <v>1491</v>
      </c>
      <c r="G990" s="40" t="s">
        <v>545</v>
      </c>
      <c r="I990" s="18">
        <v>45570</v>
      </c>
      <c r="J990" s="10">
        <v>1</v>
      </c>
      <c r="K990" s="10">
        <v>304</v>
      </c>
      <c r="L990">
        <v>304</v>
      </c>
      <c r="M990" s="10">
        <v>321</v>
      </c>
      <c r="N990">
        <f t="shared" si="18"/>
        <v>321</v>
      </c>
      <c r="P9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Row],[orderNum]],ТабПозиции[orderSumm])&gt;1500),ABS(N990*VLOOKUP(ТабПозиции[[#This Row],[orderNum]],ТабЗаказы[#Data],MATCH("Percent",ТабЗаказы[#Headers],0),0))/100,200/COUNTIF(ТабПозиции[orderNum],ТабПозиции[[#This Row],[orderNum]])),0),"")</f>
        <v>48</v>
      </c>
      <c r="Q990">
        <f>IF(OR(ТабПозиции[[#This Row],[item]]="По штрихкоду",ТабПозиции[[#This Row],[item]]="Посылка"),ТабПозиции[[#This Row],[deliverySumm]]+ТабПозиции[[#This Row],[deliveryPost]],SUM(N990:P990))</f>
        <v>369</v>
      </c>
      <c r="R990" s="41">
        <v>369</v>
      </c>
      <c r="S990" s="46">
        <f>ТабПозиции[[#This Row],[totalSumm]]-ТабПозиции[[#This Row],[payment]]</f>
        <v>0</v>
      </c>
      <c r="T990" s="18" t="s">
        <v>970</v>
      </c>
      <c r="U990" s="40" t="s">
        <v>545</v>
      </c>
      <c r="V990" s="40" t="s">
        <v>545</v>
      </c>
      <c r="W990" s="40" t="s">
        <v>545</v>
      </c>
      <c r="X990" s="3"/>
      <c r="Y990"/>
    </row>
    <row r="991" spans="1:25" hidden="1" x14ac:dyDescent="0.25">
      <c r="A991" s="10">
        <v>273</v>
      </c>
      <c r="B991" s="1">
        <f>IFERROR(VLOOKUP(ТабПозиции[[#This Row],[orderNum]],ТабЗаказы[#Data],MATCH(B$7,ТабЗаказы[#Headers],0),0),"")</f>
        <v>45568</v>
      </c>
      <c r="C991" t="str">
        <f>MONTH(ТабПозиции[[#This Row],[date]])&amp;"/"&amp;YEAR(ТабПозиции[[#This Row],[date]])</f>
        <v>10/2024</v>
      </c>
      <c r="D991" s="1" t="str">
        <f>IFERROR(VLOOKUP(ТабПозиции[[#This Row],[orderNum]],ТабЗаказы[#Data],MATCH(D$7,ТабЗаказы[#Headers],0),0),"")</f>
        <v/>
      </c>
      <c r="E991" s="1" t="str">
        <f>IFERROR(VLOOKUP(ТабПозиции[[#This Row],[orderNum]],ТабЗаказы[#Data],MATCH(E$7,ТабЗаказы[#Headers],0),0),"")</f>
        <v/>
      </c>
      <c r="F991" s="16" t="s">
        <v>696</v>
      </c>
      <c r="G991" s="40" t="s">
        <v>545</v>
      </c>
      <c r="I991" s="18">
        <v>45570</v>
      </c>
      <c r="J991" s="10">
        <v>1</v>
      </c>
      <c r="K991" s="10">
        <v>119</v>
      </c>
      <c r="L991">
        <v>119</v>
      </c>
      <c r="M991" s="10">
        <v>126</v>
      </c>
      <c r="N991">
        <f t="shared" si="18"/>
        <v>126</v>
      </c>
      <c r="P9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Row],[orderNum]],ТабПозиции[orderSumm])&gt;1500),ABS(N991*VLOOKUP(ТабПозиции[[#This Row],[orderNum]],ТабЗаказы[#Data],MATCH("Percent",ТабЗаказы[#Headers],0),0))/100,200/COUNTIF(ТабПозиции[orderNum],ТабПозиции[[#This Row],[orderNum]])),0),"")</f>
        <v>19</v>
      </c>
      <c r="Q991">
        <f>IF(OR(ТабПозиции[[#This Row],[item]]="По штрихкоду",ТабПозиции[[#This Row],[item]]="Посылка"),ТабПозиции[[#This Row],[deliverySumm]]+ТабПозиции[[#This Row],[deliveryPost]],SUM(N991:P991))</f>
        <v>145</v>
      </c>
      <c r="R991" s="41">
        <v>145</v>
      </c>
      <c r="S991" s="46">
        <f>ТабПозиции[[#This Row],[totalSumm]]-ТабПозиции[[#This Row],[payment]]</f>
        <v>0</v>
      </c>
      <c r="T991" s="18" t="s">
        <v>970</v>
      </c>
      <c r="U991" s="40" t="s">
        <v>545</v>
      </c>
      <c r="V991" s="40" t="s">
        <v>545</v>
      </c>
      <c r="W991" s="40" t="s">
        <v>545</v>
      </c>
      <c r="X991" s="3"/>
      <c r="Y991"/>
    </row>
    <row r="992" spans="1:25" hidden="1" x14ac:dyDescent="0.25">
      <c r="A992" s="10">
        <v>273</v>
      </c>
      <c r="B992" s="1">
        <f>IFERROR(VLOOKUP(ТабПозиции[[#This Row],[orderNum]],ТабЗаказы[#Data],MATCH(B$7,ТабЗаказы[#Headers],0),0),"")</f>
        <v>45568</v>
      </c>
      <c r="C992" t="str">
        <f>MONTH(ТабПозиции[[#This Row],[date]])&amp;"/"&amp;YEAR(ТабПозиции[[#This Row],[date]])</f>
        <v>10/2024</v>
      </c>
      <c r="D992" s="1" t="str">
        <f>IFERROR(VLOOKUP(ТабПозиции[[#This Row],[orderNum]],ТабЗаказы[#Data],MATCH(D$7,ТабЗаказы[#Headers],0),0),"")</f>
        <v/>
      </c>
      <c r="E992" s="1" t="str">
        <f>IFERROR(VLOOKUP(ТабПозиции[[#This Row],[orderNum]],ТабЗаказы[#Data],MATCH(E$7,ТабЗаказы[#Headers],0),0),"")</f>
        <v/>
      </c>
      <c r="F992" s="16" t="s">
        <v>1492</v>
      </c>
      <c r="G992" s="40" t="s">
        <v>545</v>
      </c>
      <c r="I992" s="18">
        <v>45570</v>
      </c>
      <c r="J992" s="10">
        <v>1</v>
      </c>
      <c r="K992" s="10">
        <v>178</v>
      </c>
      <c r="L992">
        <v>178</v>
      </c>
      <c r="M992" s="10">
        <v>188</v>
      </c>
      <c r="N992">
        <f t="shared" si="18"/>
        <v>188</v>
      </c>
      <c r="P9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Row],[orderNum]],ТабПозиции[orderSumm])&gt;1500),ABS(N992*VLOOKUP(ТабПозиции[[#This Row],[orderNum]],ТабЗаказы[#Data],MATCH("Percent",ТабЗаказы[#Headers],0),0))/100,200/COUNTIF(ТабПозиции[orderNum],ТабПозиции[[#This Row],[orderNum]])),0),"")</f>
        <v>28</v>
      </c>
      <c r="Q992">
        <f>IF(OR(ТабПозиции[[#This Row],[item]]="По штрихкоду",ТабПозиции[[#This Row],[item]]="Посылка"),ТабПозиции[[#This Row],[deliverySumm]]+ТабПозиции[[#This Row],[deliveryPost]],SUM(N992:P992))</f>
        <v>216</v>
      </c>
      <c r="R992" s="41">
        <v>216</v>
      </c>
      <c r="S992" s="46">
        <f>ТабПозиции[[#This Row],[totalSumm]]-ТабПозиции[[#This Row],[payment]]</f>
        <v>0</v>
      </c>
      <c r="T992" s="18" t="s">
        <v>970</v>
      </c>
      <c r="U992" s="40" t="s">
        <v>545</v>
      </c>
      <c r="V992" s="40" t="s">
        <v>545</v>
      </c>
      <c r="W992" s="40" t="s">
        <v>545</v>
      </c>
      <c r="X992" s="3"/>
      <c r="Y992"/>
    </row>
    <row r="993" spans="1:25" hidden="1" x14ac:dyDescent="0.25">
      <c r="A993" s="10">
        <v>273</v>
      </c>
      <c r="B993" s="1">
        <f>IFERROR(VLOOKUP(ТабПозиции[[#This Row],[orderNum]],ТабЗаказы[#Data],MATCH(B$7,ТабЗаказы[#Headers],0),0),"")</f>
        <v>45568</v>
      </c>
      <c r="C993" t="str">
        <f>MONTH(ТабПозиции[[#This Row],[date]])&amp;"/"&amp;YEAR(ТабПозиции[[#This Row],[date]])</f>
        <v>10/2024</v>
      </c>
      <c r="D993" s="1" t="str">
        <f>IFERROR(VLOOKUP(ТабПозиции[[#This Row],[orderNum]],ТабЗаказы[#Data],MATCH(D$7,ТабЗаказы[#Headers],0),0),"")</f>
        <v/>
      </c>
      <c r="E993" s="1" t="str">
        <f>IFERROR(VLOOKUP(ТабПозиции[[#This Row],[orderNum]],ТабЗаказы[#Data],MATCH(E$7,ТабЗаказы[#Headers],0),0),"")</f>
        <v/>
      </c>
      <c r="F993" s="16" t="s">
        <v>1493</v>
      </c>
      <c r="G993" s="40" t="s">
        <v>545</v>
      </c>
      <c r="I993" s="18">
        <v>45570</v>
      </c>
      <c r="J993" s="10">
        <v>1</v>
      </c>
      <c r="K993" s="10">
        <v>527</v>
      </c>
      <c r="L993">
        <v>527</v>
      </c>
      <c r="M993" s="10">
        <v>555</v>
      </c>
      <c r="N993">
        <f t="shared" si="18"/>
        <v>555</v>
      </c>
      <c r="P9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Row],[orderNum]],ТабПозиции[orderSumm])&gt;1500),ABS(N993*VLOOKUP(ТабПозиции[[#This Row],[orderNum]],ТабЗаказы[#Data],MATCH("Percent",ТабЗаказы[#Headers],0),0))/100,200/COUNTIF(ТабПозиции[orderNum],ТабПозиции[[#This Row],[orderNum]])),0),"")</f>
        <v>83</v>
      </c>
      <c r="Q993">
        <f>IF(OR(ТабПозиции[[#This Row],[item]]="По штрихкоду",ТабПозиции[[#This Row],[item]]="Посылка"),ТабПозиции[[#This Row],[deliverySumm]]+ТабПозиции[[#This Row],[deliveryPost]],SUM(N993:P993))</f>
        <v>638</v>
      </c>
      <c r="R993" s="41">
        <v>638</v>
      </c>
      <c r="S993" s="46">
        <f>ТабПозиции[[#This Row],[totalSumm]]-ТабПозиции[[#This Row],[payment]]</f>
        <v>0</v>
      </c>
      <c r="T993" s="18" t="s">
        <v>970</v>
      </c>
      <c r="U993" s="40" t="s">
        <v>545</v>
      </c>
      <c r="V993" s="40" t="s">
        <v>545</v>
      </c>
      <c r="W993" s="40" t="s">
        <v>545</v>
      </c>
      <c r="X993" s="3"/>
      <c r="Y993"/>
    </row>
    <row r="994" spans="1:25" hidden="1" x14ac:dyDescent="0.25">
      <c r="A994" s="10">
        <v>273</v>
      </c>
      <c r="B994" s="1">
        <f>IFERROR(VLOOKUP(ТабПозиции[[#This Row],[orderNum]],ТабЗаказы[#Data],MATCH(B$7,ТабЗаказы[#Headers],0),0),"")</f>
        <v>45568</v>
      </c>
      <c r="C994" t="str">
        <f>MONTH(ТабПозиции[[#This Row],[date]])&amp;"/"&amp;YEAR(ТабПозиции[[#This Row],[date]])</f>
        <v>10/2024</v>
      </c>
      <c r="D994" s="1" t="str">
        <f>IFERROR(VLOOKUP(ТабПозиции[[#This Row],[orderNum]],ТабЗаказы[#Data],MATCH(D$7,ТабЗаказы[#Headers],0),0),"")</f>
        <v/>
      </c>
      <c r="E994" s="1" t="str">
        <f>IFERROR(VLOOKUP(ТабПозиции[[#This Row],[orderNum]],ТабЗаказы[#Data],MATCH(E$7,ТабЗаказы[#Headers],0),0),"")</f>
        <v/>
      </c>
      <c r="F994" s="16" t="s">
        <v>1494</v>
      </c>
      <c r="G994" s="40" t="s">
        <v>545</v>
      </c>
      <c r="I994" s="18">
        <v>45570</v>
      </c>
      <c r="J994" s="10">
        <v>1</v>
      </c>
      <c r="K994" s="10">
        <v>238</v>
      </c>
      <c r="L994">
        <v>238</v>
      </c>
      <c r="M994" s="10">
        <v>251</v>
      </c>
      <c r="N994">
        <f t="shared" si="18"/>
        <v>251</v>
      </c>
      <c r="P9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Row],[orderNum]],ТабПозиции[orderSumm])&gt;1500),ABS(N994*VLOOKUP(ТабПозиции[[#This Row],[orderNum]],ТабЗаказы[#Data],MATCH("Percent",ТабЗаказы[#Headers],0),0))/100,200/COUNTIF(ТабПозиции[orderNum],ТабПозиции[[#This Row],[orderNum]])),0),"")</f>
        <v>38</v>
      </c>
      <c r="Q994">
        <f>IF(OR(ТабПозиции[[#This Row],[item]]="По штрихкоду",ТабПозиции[[#This Row],[item]]="Посылка"),ТабПозиции[[#This Row],[deliverySumm]]+ТабПозиции[[#This Row],[deliveryPost]],SUM(N994:P994))</f>
        <v>289</v>
      </c>
      <c r="R994" s="41">
        <v>289</v>
      </c>
      <c r="S994" s="46">
        <f>ТабПозиции[[#This Row],[totalSumm]]-ТабПозиции[[#This Row],[payment]]</f>
        <v>0</v>
      </c>
      <c r="T994" s="18" t="s">
        <v>970</v>
      </c>
      <c r="U994" s="40" t="s">
        <v>545</v>
      </c>
      <c r="V994" s="40" t="s">
        <v>545</v>
      </c>
      <c r="W994" s="40" t="s">
        <v>545</v>
      </c>
      <c r="X994" s="3"/>
      <c r="Y994"/>
    </row>
    <row r="995" spans="1:25" hidden="1" x14ac:dyDescent="0.25">
      <c r="A995" s="10">
        <v>273</v>
      </c>
      <c r="B995" s="1">
        <f>IFERROR(VLOOKUP(ТабПозиции[[#This Row],[orderNum]],ТабЗаказы[#Data],MATCH(B$7,ТабЗаказы[#Headers],0),0),"")</f>
        <v>45568</v>
      </c>
      <c r="C995" t="str">
        <f>MONTH(ТабПозиции[[#This Row],[date]])&amp;"/"&amp;YEAR(ТабПозиции[[#This Row],[date]])</f>
        <v>10/2024</v>
      </c>
      <c r="D995" s="1" t="str">
        <f>IFERROR(VLOOKUP(ТабПозиции[[#This Row],[orderNum]],ТабЗаказы[#Data],MATCH(D$7,ТабЗаказы[#Headers],0),0),"")</f>
        <v/>
      </c>
      <c r="E995" s="1" t="str">
        <f>IFERROR(VLOOKUP(ТабПозиции[[#This Row],[orderNum]],ТабЗаказы[#Data],MATCH(E$7,ТабЗаказы[#Headers],0),0),"")</f>
        <v/>
      </c>
      <c r="F995" s="16" t="s">
        <v>1495</v>
      </c>
      <c r="G995" s="40" t="s">
        <v>545</v>
      </c>
      <c r="I995" s="18">
        <v>45570</v>
      </c>
      <c r="J995" s="10">
        <v>1</v>
      </c>
      <c r="K995" s="10">
        <v>351</v>
      </c>
      <c r="L995">
        <v>351</v>
      </c>
      <c r="M995" s="10">
        <v>370</v>
      </c>
      <c r="N995">
        <f t="shared" si="18"/>
        <v>370</v>
      </c>
      <c r="P9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Row],[orderNum]],ТабПозиции[orderSumm])&gt;1500),ABS(N995*VLOOKUP(ТабПозиции[[#This Row],[orderNum]],ТабЗаказы[#Data],MATCH("Percent",ТабЗаказы[#Headers],0),0))/100,200/COUNTIF(ТабПозиции[orderNum],ТабПозиции[[#This Row],[orderNum]])),0),"")</f>
        <v>56</v>
      </c>
      <c r="Q995">
        <f>IF(OR(ТабПозиции[[#This Row],[item]]="По штрихкоду",ТабПозиции[[#This Row],[item]]="Посылка"),ТабПозиции[[#This Row],[deliverySumm]]+ТабПозиции[[#This Row],[deliveryPost]],SUM(N995:P995))</f>
        <v>426</v>
      </c>
      <c r="R995" s="41">
        <v>426</v>
      </c>
      <c r="S995" s="46">
        <f>ТабПозиции[[#This Row],[totalSumm]]-ТабПозиции[[#This Row],[payment]]</f>
        <v>0</v>
      </c>
      <c r="T995" s="18" t="s">
        <v>970</v>
      </c>
      <c r="U995" s="40" t="s">
        <v>545</v>
      </c>
      <c r="V995" s="40" t="s">
        <v>545</v>
      </c>
      <c r="W995" s="40" t="s">
        <v>545</v>
      </c>
      <c r="X995" s="3"/>
      <c r="Y995"/>
    </row>
    <row r="996" spans="1:25" hidden="1" x14ac:dyDescent="0.25">
      <c r="A996" s="10">
        <v>273</v>
      </c>
      <c r="B996" s="1">
        <f>IFERROR(VLOOKUP(ТабПозиции[[#This Row],[orderNum]],ТабЗаказы[#Data],MATCH(B$7,ТабЗаказы[#Headers],0),0),"")</f>
        <v>45568</v>
      </c>
      <c r="C996" t="str">
        <f>MONTH(ТабПозиции[[#This Row],[date]])&amp;"/"&amp;YEAR(ТабПозиции[[#This Row],[date]])</f>
        <v>10/2024</v>
      </c>
      <c r="D996" s="1" t="str">
        <f>IFERROR(VLOOKUP(ТабПозиции[[#This Row],[orderNum]],ТабЗаказы[#Data],MATCH(D$7,ТабЗаказы[#Headers],0),0),"")</f>
        <v/>
      </c>
      <c r="E996" s="1" t="str">
        <f>IFERROR(VLOOKUP(ТабПозиции[[#This Row],[orderNum]],ТабЗаказы[#Data],MATCH(E$7,ТабЗаказы[#Headers],0),0),"")</f>
        <v/>
      </c>
      <c r="F996" s="16" t="s">
        <v>1496</v>
      </c>
      <c r="G996" s="40" t="s">
        <v>545</v>
      </c>
      <c r="I996" s="18">
        <v>45570</v>
      </c>
      <c r="J996" s="10">
        <v>1</v>
      </c>
      <c r="K996" s="10">
        <v>308</v>
      </c>
      <c r="L996">
        <v>308</v>
      </c>
      <c r="M996" s="10">
        <v>325</v>
      </c>
      <c r="N996">
        <f t="shared" si="18"/>
        <v>325</v>
      </c>
      <c r="P9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Row],[orderNum]],ТабПозиции[orderSumm])&gt;1500),ABS(N996*VLOOKUP(ТабПозиции[[#This Row],[orderNum]],ТабЗаказы[#Data],MATCH("Percent",ТабЗаказы[#Headers],0),0))/100,200/COUNTIF(ТабПозиции[orderNum],ТабПозиции[[#This Row],[orderNum]])),0),"")</f>
        <v>49</v>
      </c>
      <c r="Q996">
        <f>IF(OR(ТабПозиции[[#This Row],[item]]="По штрихкоду",ТабПозиции[[#This Row],[item]]="Посылка"),ТабПозиции[[#This Row],[deliverySumm]]+ТабПозиции[[#This Row],[deliveryPost]],SUM(N996:P996))</f>
        <v>374</v>
      </c>
      <c r="R996" s="41">
        <v>374</v>
      </c>
      <c r="S996" s="46">
        <f>ТабПозиции[[#This Row],[totalSumm]]-ТабПозиции[[#This Row],[payment]]</f>
        <v>0</v>
      </c>
      <c r="T996" s="18" t="s">
        <v>970</v>
      </c>
      <c r="U996" s="40" t="s">
        <v>545</v>
      </c>
      <c r="V996" s="40" t="s">
        <v>545</v>
      </c>
      <c r="W996" s="40" t="s">
        <v>545</v>
      </c>
      <c r="X996" s="3"/>
      <c r="Y996"/>
    </row>
    <row r="997" spans="1:25" hidden="1" x14ac:dyDescent="0.25">
      <c r="A997" s="10">
        <v>295</v>
      </c>
      <c r="B997" s="1">
        <f>IFERROR(VLOOKUP(ТабПозиции[[#This Row],[orderNum]],ТабЗаказы[#Data],MATCH(B$7,ТабЗаказы[#Headers],0),0),"")</f>
        <v>45580</v>
      </c>
      <c r="C997" t="str">
        <f>MONTH(ТабПозиции[[#This Row],[date]])&amp;"/"&amp;YEAR(ТабПозиции[[#This Row],[date]])</f>
        <v>10/2024</v>
      </c>
      <c r="D997" s="1" t="str">
        <f>IFERROR(VLOOKUP(ТабПозиции[[#This Row],[orderNum]],ТабЗаказы[#Data],MATCH(D$7,ТабЗаказы[#Headers],0),0),"")</f>
        <v/>
      </c>
      <c r="E997" s="1" t="str">
        <f>IFERROR(VLOOKUP(ТабПозиции[[#This Row],[orderNum]],ТабЗаказы[#Data],MATCH(E$7,ТабЗаказы[#Headers],0),0),"")</f>
        <v/>
      </c>
      <c r="F997" s="16" t="s">
        <v>1497</v>
      </c>
      <c r="G997" s="40" t="s">
        <v>545</v>
      </c>
      <c r="I997" s="18">
        <v>45574</v>
      </c>
      <c r="J997" s="10">
        <v>0</v>
      </c>
      <c r="K997" s="10">
        <v>324</v>
      </c>
      <c r="L997">
        <v>0</v>
      </c>
      <c r="M997" s="10">
        <v>342</v>
      </c>
      <c r="N997">
        <f t="shared" si="18"/>
        <v>0</v>
      </c>
      <c r="P9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Row],[orderNum]],ТабПозиции[orderSumm])&gt;1500),ABS(N997*VLOOKUP(ТабПозиции[[#This Row],[orderNum]],ТабЗаказы[#Data],MATCH("Percent",ТабЗаказы[#Headers],0),0))/100,200/COUNTIF(ТабПозиции[orderNum],ТабПозиции[[#This Row],[orderNum]])),0),"")</f>
        <v>0</v>
      </c>
      <c r="Q997">
        <f>IF(OR(ТабПозиции[[#This Row],[item]]="По штрихкоду",ТабПозиции[[#This Row],[item]]="Посылка"),ТабПозиции[[#This Row],[deliverySumm]]+ТабПозиции[[#This Row],[deliveryPost]],SUM(N997:P997))</f>
        <v>0</v>
      </c>
      <c r="R997" s="41">
        <v>0</v>
      </c>
      <c r="S997" s="46">
        <f>ТабПозиции[[#This Row],[totalSumm]]-ТабПозиции[[#This Row],[payment]]</f>
        <v>0</v>
      </c>
      <c r="T997" s="18" t="s">
        <v>970</v>
      </c>
      <c r="U997" s="40" t="s">
        <v>545</v>
      </c>
      <c r="V997" s="40" t="s">
        <v>545</v>
      </c>
      <c r="W997" s="40" t="s">
        <v>545</v>
      </c>
      <c r="X997" s="3"/>
      <c r="Y997"/>
    </row>
    <row r="998" spans="1:25" hidden="1" x14ac:dyDescent="0.25">
      <c r="A998" s="10">
        <v>275</v>
      </c>
      <c r="B998" s="1">
        <f>IFERROR(VLOOKUP(ТабПозиции[[#This Row],[orderNum]],ТабЗаказы[#Data],MATCH(B$7,ТабЗаказы[#Headers],0),0),"")</f>
        <v>45569</v>
      </c>
      <c r="C998" t="str">
        <f>MONTH(ТабПозиции[[#This Row],[date]])&amp;"/"&amp;YEAR(ТабПозиции[[#This Row],[date]])</f>
        <v>10/2024</v>
      </c>
      <c r="D998" s="1" t="str">
        <f>IFERROR(VLOOKUP(ТабПозиции[[#This Row],[orderNum]],ТабЗаказы[#Data],MATCH(D$7,ТабЗаказы[#Headers],0),0),"")</f>
        <v/>
      </c>
      <c r="E998" s="1" t="str">
        <f>IFERROR(VLOOKUP(ТабПозиции[[#This Row],[orderNum]],ТабЗаказы[#Data],MATCH(E$7,ТабЗаказы[#Headers],0),0),"")</f>
        <v/>
      </c>
      <c r="F998" s="10" t="s">
        <v>32</v>
      </c>
      <c r="G998" s="40" t="s">
        <v>545</v>
      </c>
      <c r="I998" s="18">
        <v>45569</v>
      </c>
      <c r="J998" s="10">
        <v>1</v>
      </c>
      <c r="K998" s="10">
        <f>4525+301+307</f>
        <v>5133</v>
      </c>
      <c r="L998">
        <v>5133</v>
      </c>
      <c r="M998" s="10">
        <f>4525+301+307</f>
        <v>5133</v>
      </c>
      <c r="N998">
        <f t="shared" si="18"/>
        <v>5133</v>
      </c>
      <c r="O998" s="10">
        <v>200</v>
      </c>
      <c r="P9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Row],[orderNum]],ТабПозиции[orderSumm])&gt;1500),ABS(N998*VLOOKUP(ТабПозиции[[#This Row],[orderNum]],ТабЗаказы[#Data],MATCH("Percent",ТабЗаказы[#Headers],0),0))/100,200/COUNTIF(ТабПозиции[orderNum],ТабПозиции[[#This Row],[orderNum]])),0),"")</f>
        <v>513</v>
      </c>
      <c r="Q998">
        <f>IF(OR(ТабПозиции[[#This Row],[item]]="По штрихкоду",ТабПозиции[[#This Row],[item]]="Посылка"),ТабПозиции[[#This Row],[deliverySumm]]+ТабПозиции[[#This Row],[deliveryPost]],SUM(N998:P998))</f>
        <v>713</v>
      </c>
      <c r="R998" s="41">
        <v>720</v>
      </c>
      <c r="S998" s="46">
        <f>ТабПозиции[[#This Row],[totalSumm]]-ТабПозиции[[#This Row],[payment]]</f>
        <v>-7</v>
      </c>
      <c r="T998" s="18" t="s">
        <v>970</v>
      </c>
      <c r="U998" s="40" t="s">
        <v>545</v>
      </c>
      <c r="V998" s="40" t="s">
        <v>545</v>
      </c>
      <c r="W998" s="40" t="s">
        <v>545</v>
      </c>
      <c r="X998" s="3"/>
      <c r="Y998"/>
    </row>
    <row r="999" spans="1:25" hidden="1" x14ac:dyDescent="0.25">
      <c r="A999" s="10">
        <v>276</v>
      </c>
      <c r="B999" s="1">
        <f>IFERROR(VLOOKUP(ТабПозиции[[#This Row],[orderNum]],ТабЗаказы[#Data],MATCH(B$7,ТабЗаказы[#Headers],0),0),"")</f>
        <v>45569</v>
      </c>
      <c r="C999" t="str">
        <f>MONTH(ТабПозиции[[#This Row],[date]])&amp;"/"&amp;YEAR(ТабПозиции[[#This Row],[date]])</f>
        <v>10/2024</v>
      </c>
      <c r="D999" s="1" t="str">
        <f>IFERROR(VLOOKUP(ТабПозиции[[#This Row],[orderNum]],ТабЗаказы[#Data],MATCH(D$7,ТабЗаказы[#Headers],0),0),"")</f>
        <v/>
      </c>
      <c r="E999" s="1" t="str">
        <f>IFERROR(VLOOKUP(ТабПозиции[[#This Row],[orderNum]],ТабЗаказы[#Data],MATCH(E$7,ТабЗаказы[#Headers],0),0),"")</f>
        <v/>
      </c>
      <c r="F999" s="10" t="s">
        <v>32</v>
      </c>
      <c r="G999" s="40" t="s">
        <v>545</v>
      </c>
      <c r="I999" s="18">
        <v>45569</v>
      </c>
      <c r="J999" s="10">
        <v>1</v>
      </c>
      <c r="K999" s="10">
        <v>8838</v>
      </c>
      <c r="L999">
        <v>8838</v>
      </c>
      <c r="M999" s="10">
        <v>8838</v>
      </c>
      <c r="N999">
        <f t="shared" si="18"/>
        <v>8838</v>
      </c>
      <c r="P9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Row],[orderNum]],ТабПозиции[orderSumm])&gt;1500),ABS(N999*VLOOKUP(ТабПозиции[[#This Row],[orderNum]],ТабЗаказы[#Data],MATCH("Percent",ТабЗаказы[#Headers],0),0))/100,200/COUNTIF(ТабПозиции[orderNum],ТабПозиции[[#This Row],[orderNum]])),0),"")</f>
        <v>1326</v>
      </c>
      <c r="Q999">
        <f>IF(OR(ТабПозиции[[#This Row],[item]]="По штрихкоду",ТабПозиции[[#This Row],[item]]="Посылка"),ТабПозиции[[#This Row],[deliverySumm]]+ТабПозиции[[#This Row],[deliveryPost]],SUM(N999:P999))</f>
        <v>1326</v>
      </c>
      <c r="R999" s="41">
        <v>1326</v>
      </c>
      <c r="S999" s="46">
        <f>ТабПозиции[[#This Row],[totalSumm]]-ТабПозиции[[#This Row],[payment]]</f>
        <v>0</v>
      </c>
      <c r="T999" s="18" t="s">
        <v>970</v>
      </c>
      <c r="U999" s="40" t="s">
        <v>545</v>
      </c>
      <c r="V999" s="40" t="s">
        <v>545</v>
      </c>
      <c r="W999" s="40" t="s">
        <v>545</v>
      </c>
      <c r="X999" s="3"/>
      <c r="Y999"/>
    </row>
    <row r="1000" spans="1:25" hidden="1" x14ac:dyDescent="0.25">
      <c r="A1000" s="10">
        <v>277</v>
      </c>
      <c r="B1000" s="1">
        <f>IFERROR(VLOOKUP(ТабПозиции[[#This Row],[orderNum]],ТабЗаказы[#Data],MATCH(B$7,ТабЗаказы[#Headers],0),0),"")</f>
        <v>45569</v>
      </c>
      <c r="C1000" t="str">
        <f>MONTH(ТабПозиции[[#This Row],[date]])&amp;"/"&amp;YEAR(ТабПозиции[[#This Row],[date]])</f>
        <v>10/2024</v>
      </c>
      <c r="D1000" s="1" t="str">
        <f>IFERROR(VLOOKUP(ТабПозиции[[#This Row],[orderNum]],ТабЗаказы[#Data],MATCH(D$7,ТабЗаказы[#Headers],0),0),"")</f>
        <v/>
      </c>
      <c r="E1000" s="1" t="str">
        <f>IFERROR(VLOOKUP(ТабПозиции[[#This Row],[orderNum]],ТабЗаказы[#Data],MATCH(E$7,ТабЗаказы[#Headers],0),0),"")</f>
        <v/>
      </c>
      <c r="F1000" s="10" t="s">
        <v>32</v>
      </c>
      <c r="G1000" s="40" t="s">
        <v>545</v>
      </c>
      <c r="I1000" s="18">
        <v>45569</v>
      </c>
      <c r="J1000" s="10">
        <v>1</v>
      </c>
      <c r="K1000" s="10">
        <v>4468</v>
      </c>
      <c r="L1000">
        <v>4468</v>
      </c>
      <c r="M1000" s="10">
        <v>4468</v>
      </c>
      <c r="N1000">
        <f t="shared" si="18"/>
        <v>4468</v>
      </c>
      <c r="P10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Row],[orderNum]],ТабПозиции[orderSumm])&gt;1500),ABS(N1000*VLOOKUP(ТабПозиции[[#This Row],[orderNum]],ТабЗаказы[#Data],MATCH("Percent",ТабЗаказы[#Headers],0),0))/100,200/COUNTIF(ТабПозиции[orderNum],ТабПозиции[[#This Row],[orderNum]])),0),"")</f>
        <v>670</v>
      </c>
      <c r="Q1000">
        <f>IF(OR(ТабПозиции[[#This Row],[item]]="По штрихкоду",ТабПозиции[[#This Row],[item]]="Посылка"),ТабПозиции[[#This Row],[deliverySumm]]+ТабПозиции[[#This Row],[deliveryPost]],SUM(N1000:P1000))</f>
        <v>670</v>
      </c>
      <c r="R1000" s="41">
        <v>670</v>
      </c>
      <c r="S1000" s="46">
        <f>ТабПозиции[[#This Row],[totalSumm]]-ТабПозиции[[#This Row],[payment]]</f>
        <v>0</v>
      </c>
      <c r="T1000" s="18" t="s">
        <v>970</v>
      </c>
      <c r="U1000" s="40" t="s">
        <v>545</v>
      </c>
      <c r="V1000" s="40" t="s">
        <v>545</v>
      </c>
      <c r="W1000" s="40" t="s">
        <v>545</v>
      </c>
      <c r="X1000" s="3"/>
      <c r="Y1000"/>
    </row>
    <row r="1001" spans="1:25" hidden="1" x14ac:dyDescent="0.25">
      <c r="A1001" s="10">
        <v>278</v>
      </c>
      <c r="B1001" s="1">
        <f>IFERROR(VLOOKUP(ТабПозиции[[#This Row],[orderNum]],ТабЗаказы[#Data],MATCH(B$7,ТабЗаказы[#Headers],0),0),"")</f>
        <v>45569</v>
      </c>
      <c r="C1001" t="str">
        <f>MONTH(ТабПозиции[[#This Row],[date]])&amp;"/"&amp;YEAR(ТабПозиции[[#This Row],[date]])</f>
        <v>10/2024</v>
      </c>
      <c r="D1001" s="1" t="str">
        <f>IFERROR(VLOOKUP(ТабПозиции[[#This Row],[orderNum]],ТабЗаказы[#Data],MATCH(D$7,ТабЗаказы[#Headers],0),0),"")</f>
        <v/>
      </c>
      <c r="E1001" s="1" t="str">
        <f>IFERROR(VLOOKUP(ТабПозиции[[#This Row],[orderNum]],ТабЗаказы[#Data],MATCH(E$7,ТабЗаказы[#Headers],0),0),"")</f>
        <v/>
      </c>
      <c r="F1001" s="16" t="s">
        <v>1504</v>
      </c>
      <c r="G1001" s="40" t="s">
        <v>545</v>
      </c>
      <c r="I1001" s="18">
        <v>45571</v>
      </c>
      <c r="J1001" s="10">
        <v>1</v>
      </c>
      <c r="K1001" s="10">
        <v>420</v>
      </c>
      <c r="L1001">
        <v>420</v>
      </c>
      <c r="M1001" s="10">
        <v>429</v>
      </c>
      <c r="N1001">
        <f t="shared" si="18"/>
        <v>429</v>
      </c>
      <c r="P10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Row],[orderNum]],ТабПозиции[orderSumm])&gt;1500),ABS(N1001*VLOOKUP(ТабПозиции[[#This Row],[orderNum]],ТабЗаказы[#Data],MATCH("Percent",ТабЗаказы[#Headers],0),0))/100,200/COUNTIF(ТабПозиции[orderNum],ТабПозиции[[#This Row],[orderNum]])),0),"")</f>
        <v>64</v>
      </c>
      <c r="Q1001">
        <f>IF(OR(ТабПозиции[[#This Row],[item]]="По штрихкоду",ТабПозиции[[#This Row],[item]]="Посылка"),ТабПозиции[[#This Row],[deliverySumm]]+ТабПозиции[[#This Row],[deliveryPost]],SUM(N1001:P1001))</f>
        <v>493</v>
      </c>
      <c r="R1001" s="41">
        <v>493</v>
      </c>
      <c r="S1001" s="46">
        <f>ТабПозиции[[#This Row],[totalSumm]]-ТабПозиции[[#This Row],[payment]]</f>
        <v>0</v>
      </c>
      <c r="T1001" s="18" t="s">
        <v>960</v>
      </c>
      <c r="U1001" s="40" t="s">
        <v>545</v>
      </c>
      <c r="V1001" s="40" t="s">
        <v>545</v>
      </c>
      <c r="W1001" s="40" t="s">
        <v>545</v>
      </c>
      <c r="X1001" s="3"/>
      <c r="Y1001"/>
    </row>
    <row r="1002" spans="1:25" hidden="1" x14ac:dyDescent="0.25">
      <c r="A1002" s="10">
        <v>278</v>
      </c>
      <c r="B1002" s="1">
        <f>IFERROR(VLOOKUP(ТабПозиции[[#This Row],[orderNum]],ТабЗаказы[#Data],MATCH(B$7,ТабЗаказы[#Headers],0),0),"")</f>
        <v>45569</v>
      </c>
      <c r="C1002" t="str">
        <f>MONTH(ТабПозиции[[#This Row],[date]])&amp;"/"&amp;YEAR(ТабПозиции[[#This Row],[date]])</f>
        <v>10/2024</v>
      </c>
      <c r="D1002" s="1" t="str">
        <f>IFERROR(VLOOKUP(ТабПозиции[[#This Row],[orderNum]],ТабЗаказы[#Data],MATCH(D$7,ТабЗаказы[#Headers],0),0),"")</f>
        <v/>
      </c>
      <c r="E1002" s="1" t="str">
        <f>IFERROR(VLOOKUP(ТабПозиции[[#This Row],[orderNum]],ТабЗаказы[#Data],MATCH(E$7,ТабЗаказы[#Headers],0),0),"")</f>
        <v/>
      </c>
      <c r="F1002" s="16" t="s">
        <v>1505</v>
      </c>
      <c r="G1002" s="40" t="s">
        <v>545</v>
      </c>
      <c r="I1002" s="18">
        <v>45571</v>
      </c>
      <c r="J1002" s="10">
        <v>1</v>
      </c>
      <c r="K1002" s="10">
        <v>318</v>
      </c>
      <c r="L1002">
        <v>318</v>
      </c>
      <c r="M1002" s="10">
        <v>325</v>
      </c>
      <c r="N1002">
        <f t="shared" si="18"/>
        <v>325</v>
      </c>
      <c r="P10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Row],[orderNum]],ТабПозиции[orderSumm])&gt;1500),ABS(N1002*VLOOKUP(ТабПозиции[[#This Row],[orderNum]],ТабЗаказы[#Data],MATCH("Percent",ТабЗаказы[#Headers],0),0))/100,200/COUNTIF(ТабПозиции[orderNum],ТабПозиции[[#This Row],[orderNum]])),0),"")</f>
        <v>49</v>
      </c>
      <c r="Q1002">
        <f>IF(OR(ТабПозиции[[#This Row],[item]]="По штрихкоду",ТабПозиции[[#This Row],[item]]="Посылка"),ТабПозиции[[#This Row],[deliverySumm]]+ТабПозиции[[#This Row],[deliveryPost]],SUM(N1002:P1002))</f>
        <v>374</v>
      </c>
      <c r="R1002" s="41">
        <v>374</v>
      </c>
      <c r="S1002" s="46">
        <f>ТабПозиции[[#This Row],[totalSumm]]-ТабПозиции[[#This Row],[payment]]</f>
        <v>0</v>
      </c>
      <c r="T1002" s="18" t="s">
        <v>960</v>
      </c>
      <c r="U1002" s="40" t="s">
        <v>545</v>
      </c>
      <c r="V1002" s="40" t="s">
        <v>545</v>
      </c>
      <c r="W1002" s="40" t="s">
        <v>545</v>
      </c>
      <c r="X1002" s="3"/>
      <c r="Y1002"/>
    </row>
    <row r="1003" spans="1:25" hidden="1" x14ac:dyDescent="0.25">
      <c r="A1003" s="10">
        <v>278</v>
      </c>
      <c r="B1003" s="1">
        <f>IFERROR(VLOOKUP(ТабПозиции[[#This Row],[orderNum]],ТабЗаказы[#Data],MATCH(B$7,ТабЗаказы[#Headers],0),0),"")</f>
        <v>45569</v>
      </c>
      <c r="C1003" t="str">
        <f>MONTH(ТабПозиции[[#This Row],[date]])&amp;"/"&amp;YEAR(ТабПозиции[[#This Row],[date]])</f>
        <v>10/2024</v>
      </c>
      <c r="D1003" s="1" t="str">
        <f>IFERROR(VLOOKUP(ТабПозиции[[#This Row],[orderNum]],ТабЗаказы[#Data],MATCH(D$7,ТабЗаказы[#Headers],0),0),"")</f>
        <v/>
      </c>
      <c r="E1003" s="1" t="str">
        <f>IFERROR(VLOOKUP(ТабПозиции[[#This Row],[orderNum]],ТабЗаказы[#Data],MATCH(E$7,ТабЗаказы[#Headers],0),0),"")</f>
        <v/>
      </c>
      <c r="F1003" s="16" t="s">
        <v>1506</v>
      </c>
      <c r="G1003" s="40" t="s">
        <v>545</v>
      </c>
      <c r="I1003" s="18">
        <v>45572</v>
      </c>
      <c r="J1003" s="10">
        <v>1</v>
      </c>
      <c r="K1003" s="10">
        <v>327</v>
      </c>
      <c r="L1003">
        <v>327</v>
      </c>
      <c r="M1003" s="10">
        <v>345</v>
      </c>
      <c r="N1003">
        <f t="shared" si="18"/>
        <v>345</v>
      </c>
      <c r="P10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Row],[orderNum]],ТабПозиции[orderSumm])&gt;1500),ABS(N1003*VLOOKUP(ТабПозиции[[#This Row],[orderNum]],ТабЗаказы[#Data],MATCH("Percent",ТабЗаказы[#Headers],0),0))/100,200/COUNTIF(ТабПозиции[orderNum],ТабПозиции[[#This Row],[orderNum]])),0),"")</f>
        <v>52</v>
      </c>
      <c r="Q1003">
        <f>IF(OR(ТабПозиции[[#This Row],[item]]="По штрихкоду",ТабПозиции[[#This Row],[item]]="Посылка"),ТабПозиции[[#This Row],[deliverySumm]]+ТабПозиции[[#This Row],[deliveryPost]],SUM(N1003:P1003))</f>
        <v>397</v>
      </c>
      <c r="R1003" s="41">
        <v>397</v>
      </c>
      <c r="S1003" s="46">
        <f>ТабПозиции[[#This Row],[totalSumm]]-ТабПозиции[[#This Row],[payment]]</f>
        <v>0</v>
      </c>
      <c r="T1003" s="18" t="s">
        <v>970</v>
      </c>
      <c r="U1003" s="40" t="s">
        <v>545</v>
      </c>
      <c r="V1003" s="40" t="s">
        <v>545</v>
      </c>
      <c r="W1003" s="40" t="s">
        <v>545</v>
      </c>
      <c r="X1003" s="3"/>
      <c r="Y1003"/>
    </row>
    <row r="1004" spans="1:25" hidden="1" x14ac:dyDescent="0.25">
      <c r="A1004" s="10">
        <v>278</v>
      </c>
      <c r="B1004" s="1">
        <f>IFERROR(VLOOKUP(ТабПозиции[[#This Row],[orderNum]],ТабЗаказы[#Data],MATCH(B$7,ТабЗаказы[#Headers],0),0),"")</f>
        <v>45569</v>
      </c>
      <c r="C1004" t="str">
        <f>MONTH(ТабПозиции[[#This Row],[date]])&amp;"/"&amp;YEAR(ТабПозиции[[#This Row],[date]])</f>
        <v>10/2024</v>
      </c>
      <c r="D1004" s="1" t="str">
        <f>IFERROR(VLOOKUP(ТабПозиции[[#This Row],[orderNum]],ТабЗаказы[#Data],MATCH(D$7,ТабЗаказы[#Headers],0),0),"")</f>
        <v/>
      </c>
      <c r="E1004" s="1" t="str">
        <f>IFERROR(VLOOKUP(ТабПозиции[[#This Row],[orderNum]],ТабЗаказы[#Data],MATCH(E$7,ТабЗаказы[#Headers],0),0),"")</f>
        <v/>
      </c>
      <c r="F1004" s="16" t="s">
        <v>1092</v>
      </c>
      <c r="G1004" s="40" t="s">
        <v>545</v>
      </c>
      <c r="I1004" s="18">
        <v>45571</v>
      </c>
      <c r="J1004" s="10">
        <v>1</v>
      </c>
      <c r="K1004" s="10">
        <v>636</v>
      </c>
      <c r="L1004">
        <v>636</v>
      </c>
      <c r="M1004" s="10">
        <v>670</v>
      </c>
      <c r="N1004">
        <f t="shared" si="18"/>
        <v>670</v>
      </c>
      <c r="P10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Row],[orderNum]],ТабПозиции[orderSumm])&gt;1500),ABS(N1004*VLOOKUP(ТабПозиции[[#This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1004">
        <f>IF(OR(ТабПозиции[[#This Row],[item]]="По штрихкоду",ТабПозиции[[#This Row],[item]]="Посылка"),ТабПозиции[[#This Row],[deliverySumm]]+ТабПозиции[[#This Row],[deliveryPost]],SUM(N1004:P1004))</f>
        <v>771</v>
      </c>
      <c r="R1004" s="41">
        <v>771</v>
      </c>
      <c r="S1004" s="46">
        <f>ТабПозиции[[#This Row],[totalSumm]]-ТабПозиции[[#This Row],[payment]]</f>
        <v>0</v>
      </c>
      <c r="T1004" s="18" t="s">
        <v>970</v>
      </c>
      <c r="U1004" s="40" t="s">
        <v>545</v>
      </c>
      <c r="V1004" s="40" t="s">
        <v>545</v>
      </c>
      <c r="W1004" s="40" t="s">
        <v>545</v>
      </c>
      <c r="X1004" s="3"/>
      <c r="Y1004"/>
    </row>
    <row r="1005" spans="1:25" hidden="1" x14ac:dyDescent="0.25">
      <c r="A1005" s="10">
        <v>278</v>
      </c>
      <c r="B1005" s="1">
        <f>IFERROR(VLOOKUP(ТабПозиции[[#This Row],[orderNum]],ТабЗаказы[#Data],MATCH(B$7,ТабЗаказы[#Headers],0),0),"")</f>
        <v>45569</v>
      </c>
      <c r="C1005" t="str">
        <f>MONTH(ТабПозиции[[#This Row],[date]])&amp;"/"&amp;YEAR(ТабПозиции[[#This Row],[date]])</f>
        <v>10/2024</v>
      </c>
      <c r="D1005" s="1" t="str">
        <f>IFERROR(VLOOKUP(ТабПозиции[[#This Row],[orderNum]],ТабЗаказы[#Data],MATCH(D$7,ТабЗаказы[#Headers],0),0),"")</f>
        <v/>
      </c>
      <c r="E1005" s="1" t="str">
        <f>IFERROR(VLOOKUP(ТабПозиции[[#This Row],[orderNum]],ТабЗаказы[#Data],MATCH(E$7,ТабЗаказы[#Headers],0),0),"")</f>
        <v/>
      </c>
      <c r="F1005" s="16" t="s">
        <v>1507</v>
      </c>
      <c r="G1005" s="40" t="s">
        <v>545</v>
      </c>
      <c r="I1005" s="18">
        <v>45571</v>
      </c>
      <c r="J1005" s="10">
        <v>1</v>
      </c>
      <c r="K1005" s="10">
        <v>128</v>
      </c>
      <c r="L1005">
        <v>128</v>
      </c>
      <c r="M1005" s="10">
        <v>135</v>
      </c>
      <c r="N1005">
        <f t="shared" si="18"/>
        <v>135</v>
      </c>
      <c r="P10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Row],[orderNum]],ТабПозиции[orderSumm])&gt;1500),ABS(N1005*VLOOKUP(ТабПозиции[[#This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005">
        <f>IF(OR(ТабПозиции[[#This Row],[item]]="По штрихкоду",ТабПозиции[[#This Row],[item]]="Посылка"),ТабПозиции[[#This Row],[deliverySumm]]+ТабПозиции[[#This Row],[deliveryPost]],SUM(N1005:P1005))</f>
        <v>155</v>
      </c>
      <c r="R1005" s="41">
        <v>155</v>
      </c>
      <c r="S1005" s="46">
        <f>ТабПозиции[[#This Row],[totalSumm]]-ТабПозиции[[#This Row],[payment]]</f>
        <v>0</v>
      </c>
      <c r="T1005" s="18" t="s">
        <v>970</v>
      </c>
      <c r="U1005" s="40" t="s">
        <v>545</v>
      </c>
      <c r="V1005" s="40" t="s">
        <v>545</v>
      </c>
      <c r="W1005" s="40" t="s">
        <v>545</v>
      </c>
      <c r="X1005" s="3"/>
      <c r="Y1005"/>
    </row>
    <row r="1006" spans="1:25" hidden="1" x14ac:dyDescent="0.25">
      <c r="A1006" s="10">
        <v>278</v>
      </c>
      <c r="B1006" s="1">
        <f>IFERROR(VLOOKUP(ТабПозиции[[#This Row],[orderNum]],ТабЗаказы[#Data],MATCH(B$7,ТабЗаказы[#Headers],0),0),"")</f>
        <v>45569</v>
      </c>
      <c r="C1006" t="str">
        <f>MONTH(ТабПозиции[[#This Row],[date]])&amp;"/"&amp;YEAR(ТабПозиции[[#This Row],[date]])</f>
        <v>10/2024</v>
      </c>
      <c r="D1006" s="1" t="str">
        <f>IFERROR(VLOOKUP(ТабПозиции[[#This Row],[orderNum]],ТабЗаказы[#Data],MATCH(D$7,ТабЗаказы[#Headers],0),0),"")</f>
        <v/>
      </c>
      <c r="E1006" s="1" t="str">
        <f>IFERROR(VLOOKUP(ТабПозиции[[#This Row],[orderNum]],ТабЗаказы[#Data],MATCH(E$7,ТабЗаказы[#Headers],0),0),"")</f>
        <v/>
      </c>
      <c r="F1006" s="16" t="s">
        <v>1508</v>
      </c>
      <c r="G1006" s="40" t="s">
        <v>552</v>
      </c>
      <c r="I1006" s="18">
        <v>45572</v>
      </c>
      <c r="J1006" s="10">
        <v>1</v>
      </c>
      <c r="K1006" s="10">
        <v>1125</v>
      </c>
      <c r="L1006">
        <v>1125</v>
      </c>
      <c r="M1006" s="10">
        <v>1211</v>
      </c>
      <c r="N1006">
        <f t="shared" si="18"/>
        <v>1211</v>
      </c>
      <c r="P10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Row],[orderNum]],ТабПозиции[orderSumm])&gt;1500),ABS(N1006*VLOOKUP(ТабПозиции[[#This Row],[orderNum]],ТабЗаказы[#Data],MATCH("Percent",ТабЗаказы[#Headers],0),0))/100,200/COUNTIF(ТабПозиции[orderNum],ТабПозиции[[#This Row],[orderNum]])),0),"")</f>
        <v>182</v>
      </c>
      <c r="Q1006">
        <f>IF(OR(ТабПозиции[[#This Row],[item]]="По штрихкоду",ТабПозиции[[#This Row],[item]]="Посылка"),ТабПозиции[[#This Row],[deliverySumm]]+ТабПозиции[[#This Row],[deliveryPost]],SUM(N1006:P1006))</f>
        <v>1393</v>
      </c>
      <c r="R1006" s="41">
        <v>1393</v>
      </c>
      <c r="S1006" s="46">
        <f>ТабПозиции[[#This Row],[totalSumm]]-ТабПозиции[[#This Row],[payment]]</f>
        <v>0</v>
      </c>
      <c r="T1006" s="18" t="s">
        <v>960</v>
      </c>
      <c r="U1006" s="40" t="s">
        <v>545</v>
      </c>
      <c r="V1006" s="40" t="s">
        <v>545</v>
      </c>
      <c r="W1006" s="40" t="s">
        <v>552</v>
      </c>
      <c r="X1006" s="3"/>
      <c r="Y1006"/>
    </row>
    <row r="1007" spans="1:25" hidden="1" x14ac:dyDescent="0.25">
      <c r="A1007" s="10">
        <v>278</v>
      </c>
      <c r="B1007" s="1">
        <f>IFERROR(VLOOKUP(ТабПозиции[[#This Row],[orderNum]],ТабЗаказы[#Data],MATCH(B$7,ТабЗаказы[#Headers],0),0),"")</f>
        <v>45569</v>
      </c>
      <c r="C1007" t="str">
        <f>MONTH(ТабПозиции[[#This Row],[date]])&amp;"/"&amp;YEAR(ТабПозиции[[#This Row],[date]])</f>
        <v>10/2024</v>
      </c>
      <c r="D1007" s="1" t="str">
        <f>IFERROR(VLOOKUP(ТабПозиции[[#This Row],[orderNum]],ТабЗаказы[#Data],MATCH(D$7,ТабЗаказы[#Headers],0),0),"")</f>
        <v/>
      </c>
      <c r="E1007" s="1" t="str">
        <f>IFERROR(VLOOKUP(ТабПозиции[[#This Row],[orderNum]],ТабЗаказы[#Data],MATCH(E$7,ТабЗаказы[#Headers],0),0),"")</f>
        <v/>
      </c>
      <c r="F1007" s="16" t="s">
        <v>1508</v>
      </c>
      <c r="G1007" s="40" t="s">
        <v>545</v>
      </c>
      <c r="I1007" s="18">
        <v>45571</v>
      </c>
      <c r="J1007" s="10">
        <v>1</v>
      </c>
      <c r="K1007" s="10">
        <v>282</v>
      </c>
      <c r="L1007">
        <v>282</v>
      </c>
      <c r="M1007" s="10">
        <v>297</v>
      </c>
      <c r="N1007">
        <f t="shared" si="18"/>
        <v>297</v>
      </c>
      <c r="P10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Row],[orderNum]],ТабПозиции[orderSumm])&gt;1500),ABS(N1007*VLOOKUP(ТабПозиции[[#This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007">
        <f>IF(OR(ТабПозиции[[#This Row],[item]]="По штрихкоду",ТабПозиции[[#This Row],[item]]="Посылка"),ТабПозиции[[#This Row],[deliverySumm]]+ТабПозиции[[#This Row],[deliveryPost]],SUM(N1007:P1007))</f>
        <v>342</v>
      </c>
      <c r="R1007" s="41">
        <v>342</v>
      </c>
      <c r="S1007" s="46">
        <f>ТабПозиции[[#This Row],[totalSumm]]-ТабПозиции[[#This Row],[payment]]</f>
        <v>0</v>
      </c>
      <c r="T1007" s="18" t="s">
        <v>970</v>
      </c>
      <c r="U1007" s="40" t="s">
        <v>545</v>
      </c>
      <c r="V1007" s="40" t="s">
        <v>545</v>
      </c>
      <c r="W1007" s="40" t="s">
        <v>545</v>
      </c>
      <c r="X1007" s="3"/>
      <c r="Y1007"/>
    </row>
    <row r="1008" spans="1:25" hidden="1" x14ac:dyDescent="0.25">
      <c r="A1008" s="10">
        <v>279</v>
      </c>
      <c r="B1008" s="1">
        <f>IFERROR(VLOOKUP(ТабПозиции[[#This Row],[orderNum]],ТабЗаказы[#Data],MATCH(B$7,ТабЗаказы[#Headers],0),0),"")</f>
        <v>45569</v>
      </c>
      <c r="C1008" t="str">
        <f>MONTH(ТабПозиции[[#This Row],[date]])&amp;"/"&amp;YEAR(ТабПозиции[[#This Row],[date]])</f>
        <v>10/2024</v>
      </c>
      <c r="D1008" s="1" t="str">
        <f>IFERROR(VLOOKUP(ТабПозиции[[#This Row],[orderNum]],ТабЗаказы[#Data],MATCH(D$7,ТабЗаказы[#Headers],0),0),"")</f>
        <v/>
      </c>
      <c r="E1008" s="1" t="str">
        <f>IFERROR(VLOOKUP(ТабПозиции[[#This Row],[orderNum]],ТабЗаказы[#Data],MATCH(E$7,ТабЗаказы[#Headers],0),0),"")</f>
        <v/>
      </c>
      <c r="F1008" s="16" t="s">
        <v>1517</v>
      </c>
      <c r="G1008" s="40" t="s">
        <v>545</v>
      </c>
      <c r="I1008" s="18">
        <v>45569</v>
      </c>
      <c r="J1008" s="10">
        <v>1</v>
      </c>
      <c r="K1008" s="10">
        <v>249</v>
      </c>
      <c r="L1008">
        <v>249</v>
      </c>
      <c r="M1008" s="10">
        <v>263</v>
      </c>
      <c r="N1008">
        <f t="shared" si="18"/>
        <v>263</v>
      </c>
      <c r="P10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Row],[orderNum]],ТабПозиции[orderSumm])&gt;1500),ABS(N1008*VLOOKUP(ТабПозиции[[#This Row],[orderNum]],ТабЗаказы[#Data],MATCH("Percent",ТабЗаказы[#Headers],0),0))/100,200/COUNTIF(ТабПозиции[orderNum],ТабПозиции[[#This Row],[orderNum]])),0),"")</f>
        <v>39</v>
      </c>
      <c r="Q1008">
        <f>IF(OR(ТабПозиции[[#This Row],[item]]="По штрихкоду",ТабПозиции[[#This Row],[item]]="Посылка"),ТабПозиции[[#This Row],[deliverySumm]]+ТабПозиции[[#This Row],[deliveryPost]],SUM(N1008:P1008))</f>
        <v>302</v>
      </c>
      <c r="R1008" s="41">
        <v>302</v>
      </c>
      <c r="S1008" s="46">
        <f>ТабПозиции[[#This Row],[totalSumm]]-ТабПозиции[[#This Row],[payment]]</f>
        <v>0</v>
      </c>
      <c r="T1008" s="18" t="s">
        <v>970</v>
      </c>
      <c r="U1008" s="40" t="s">
        <v>545</v>
      </c>
      <c r="V1008" s="40" t="s">
        <v>545</v>
      </c>
      <c r="W1008" s="40" t="s">
        <v>545</v>
      </c>
      <c r="X1008" s="3"/>
      <c r="Y1008"/>
    </row>
    <row r="1009" spans="1:25" hidden="1" x14ac:dyDescent="0.25">
      <c r="A1009" s="10">
        <v>279</v>
      </c>
      <c r="B1009" s="1">
        <f>IFERROR(VLOOKUP(ТабПозиции[[#This Row],[orderNum]],ТабЗаказы[#Data],MATCH(B$7,ТабЗаказы[#Headers],0),0),"")</f>
        <v>45569</v>
      </c>
      <c r="C1009" t="str">
        <f>MONTH(ТабПозиции[[#This Row],[date]])&amp;"/"&amp;YEAR(ТабПозиции[[#This Row],[date]])</f>
        <v>10/2024</v>
      </c>
      <c r="D1009" s="1" t="str">
        <f>IFERROR(VLOOKUP(ТабПозиции[[#This Row],[orderNum]],ТабЗаказы[#Data],MATCH(D$7,ТабЗаказы[#Headers],0),0),"")</f>
        <v/>
      </c>
      <c r="E1009" s="1" t="str">
        <f>IFERROR(VLOOKUP(ТабПозиции[[#This Row],[orderNum]],ТабЗаказы[#Data],MATCH(E$7,ТабЗаказы[#Headers],0),0),"")</f>
        <v/>
      </c>
      <c r="F1009" s="16" t="s">
        <v>1518</v>
      </c>
      <c r="G1009" s="40" t="s">
        <v>545</v>
      </c>
      <c r="I1009" s="18">
        <v>45571</v>
      </c>
      <c r="J1009" s="10">
        <v>1</v>
      </c>
      <c r="K1009" s="10">
        <v>357</v>
      </c>
      <c r="L1009">
        <v>357</v>
      </c>
      <c r="M1009" s="10">
        <v>376</v>
      </c>
      <c r="N1009">
        <f t="shared" si="18"/>
        <v>376</v>
      </c>
      <c r="P10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Row],[orderNum]],ТабПозиции[orderSumm])&gt;1500),ABS(N1009*VLOOKUP(ТабПозиции[[#This Row],[orderNum]],ТабЗаказы[#Data],MATCH("Percent",ТабЗаказы[#Headers],0),0))/100,200/COUNTIF(ТабПозиции[orderNum],ТабПозиции[[#This Row],[orderNum]])),0),"")</f>
        <v>56</v>
      </c>
      <c r="Q1009">
        <f>IF(OR(ТабПозиции[[#This Row],[item]]="По штрихкоду",ТабПозиции[[#This Row],[item]]="Посылка"),ТабПозиции[[#This Row],[deliverySumm]]+ТабПозиции[[#This Row],[deliveryPost]],SUM(N1009:P1009))</f>
        <v>432</v>
      </c>
      <c r="R1009" s="41">
        <v>432</v>
      </c>
      <c r="S1009" s="46">
        <f>ТабПозиции[[#This Row],[totalSumm]]-ТабПозиции[[#This Row],[payment]]</f>
        <v>0</v>
      </c>
      <c r="T1009" s="18" t="s">
        <v>970</v>
      </c>
      <c r="U1009" s="40" t="s">
        <v>545</v>
      </c>
      <c r="V1009" s="40" t="s">
        <v>545</v>
      </c>
      <c r="W1009" s="40" t="s">
        <v>545</v>
      </c>
      <c r="X1009" s="3"/>
      <c r="Y1009"/>
    </row>
    <row r="1010" spans="1:25" hidden="1" x14ac:dyDescent="0.25">
      <c r="A1010" s="10">
        <v>279</v>
      </c>
      <c r="B1010" s="1">
        <f>IFERROR(VLOOKUP(ТабПозиции[[#This Row],[orderNum]],ТабЗаказы[#Data],MATCH(B$7,ТабЗаказы[#Headers],0),0),"")</f>
        <v>45569</v>
      </c>
      <c r="C1010" t="str">
        <f>MONTH(ТабПозиции[[#This Row],[date]])&amp;"/"&amp;YEAR(ТабПозиции[[#This Row],[date]])</f>
        <v>10/2024</v>
      </c>
      <c r="D1010" s="1" t="str">
        <f>IFERROR(VLOOKUP(ТабПозиции[[#This Row],[orderNum]],ТабЗаказы[#Data],MATCH(D$7,ТабЗаказы[#Headers],0),0),"")</f>
        <v/>
      </c>
      <c r="E1010" s="1" t="str">
        <f>IFERROR(VLOOKUP(ТабПозиции[[#This Row],[orderNum]],ТабЗаказы[#Data],MATCH(E$7,ТабЗаказы[#Headers],0),0),"")</f>
        <v/>
      </c>
      <c r="F1010" s="16" t="s">
        <v>1519</v>
      </c>
      <c r="G1010" s="40" t="s">
        <v>545</v>
      </c>
      <c r="I1010" s="18">
        <v>45571</v>
      </c>
      <c r="J1010" s="10">
        <v>1</v>
      </c>
      <c r="K1010" s="10">
        <v>195</v>
      </c>
      <c r="L1010">
        <v>195</v>
      </c>
      <c r="M1010" s="10">
        <v>206</v>
      </c>
      <c r="N1010">
        <f t="shared" si="18"/>
        <v>206</v>
      </c>
      <c r="P10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Row],[orderNum]],ТабПозиции[orderSumm])&gt;1500),ABS(N1010*VLOOKUP(ТабПозиции[[#This Row],[orderNum]],ТабЗаказы[#Data],MATCH("Percent",ТабЗаказы[#Headers],0),0))/100,200/COUNTIF(ТабПозиции[orderNum],ТабПозиции[[#This Row],[orderNum]])),0),"")</f>
        <v>31</v>
      </c>
      <c r="Q1010">
        <f>IF(OR(ТабПозиции[[#This Row],[item]]="По штрихкоду",ТабПозиции[[#This Row],[item]]="Посылка"),ТабПозиции[[#This Row],[deliverySumm]]+ТабПозиции[[#This Row],[deliveryPost]],SUM(N1010:P1010))</f>
        <v>237</v>
      </c>
      <c r="R1010" s="41">
        <v>237</v>
      </c>
      <c r="S1010" s="46">
        <f>ТабПозиции[[#This Row],[totalSumm]]-ТабПозиции[[#This Row],[payment]]</f>
        <v>0</v>
      </c>
      <c r="T1010" s="18" t="s">
        <v>970</v>
      </c>
      <c r="U1010" s="40" t="s">
        <v>545</v>
      </c>
      <c r="V1010" s="40" t="s">
        <v>545</v>
      </c>
      <c r="W1010" s="40" t="s">
        <v>545</v>
      </c>
      <c r="X1010" s="3"/>
      <c r="Y1010"/>
    </row>
    <row r="1011" spans="1:25" hidden="1" x14ac:dyDescent="0.25">
      <c r="A1011" s="10">
        <v>279</v>
      </c>
      <c r="B1011" s="1">
        <f>IFERROR(VLOOKUP(ТабПозиции[[#This Row],[orderNum]],ТабЗаказы[#Data],MATCH(B$7,ТабЗаказы[#Headers],0),0),"")</f>
        <v>45569</v>
      </c>
      <c r="C1011" t="str">
        <f>MONTH(ТабПозиции[[#This Row],[date]])&amp;"/"&amp;YEAR(ТабПозиции[[#This Row],[date]])</f>
        <v>10/2024</v>
      </c>
      <c r="D1011" s="1" t="str">
        <f>IFERROR(VLOOKUP(ТабПозиции[[#This Row],[orderNum]],ТабЗаказы[#Data],MATCH(D$7,ТабЗаказы[#Headers],0),0),"")</f>
        <v/>
      </c>
      <c r="E1011" s="1" t="str">
        <f>IFERROR(VLOOKUP(ТабПозиции[[#This Row],[orderNum]],ТабЗаказы[#Data],MATCH(E$7,ТабЗаказы[#Headers],0),0),"")</f>
        <v/>
      </c>
      <c r="F1011" s="16" t="s">
        <v>1029</v>
      </c>
      <c r="G1011" s="40" t="s">
        <v>545</v>
      </c>
      <c r="I1011" s="18">
        <v>45572</v>
      </c>
      <c r="J1011" s="10">
        <v>1</v>
      </c>
      <c r="K1011" s="10">
        <v>228</v>
      </c>
      <c r="L1011">
        <v>228</v>
      </c>
      <c r="M1011" s="10">
        <v>241</v>
      </c>
      <c r="N1011">
        <f t="shared" si="18"/>
        <v>241</v>
      </c>
      <c r="P10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Row],[orderNum]],ТабПозиции[orderSumm])&gt;1500),ABS(N1011*VLOOKUP(ТабПозиции[[#This Row],[orderNum]],ТабЗаказы[#Data],MATCH("Percent",ТабЗаказы[#Headers],0),0))/100,200/COUNTIF(ТабПозиции[orderNum],ТабПозиции[[#This Row],[orderNum]])),0),"")</f>
        <v>36</v>
      </c>
      <c r="Q1011">
        <f>IF(OR(ТабПозиции[[#This Row],[item]]="По штрихкоду",ТабПозиции[[#This Row],[item]]="Посылка"),ТабПозиции[[#This Row],[deliverySumm]]+ТабПозиции[[#This Row],[deliveryPost]],SUM(N1011:P1011))</f>
        <v>277</v>
      </c>
      <c r="R1011" s="41">
        <v>277</v>
      </c>
      <c r="S1011" s="46">
        <f>ТабПозиции[[#This Row],[totalSumm]]-ТабПозиции[[#This Row],[payment]]</f>
        <v>0</v>
      </c>
      <c r="T1011" s="18" t="s">
        <v>970</v>
      </c>
      <c r="U1011" s="40" t="s">
        <v>545</v>
      </c>
      <c r="V1011" s="40" t="s">
        <v>545</v>
      </c>
      <c r="W1011" s="40" t="s">
        <v>545</v>
      </c>
      <c r="X1011" s="3"/>
      <c r="Y1011"/>
    </row>
    <row r="1012" spans="1:25" hidden="1" x14ac:dyDescent="0.25">
      <c r="A1012" s="10">
        <v>279</v>
      </c>
      <c r="B1012" s="1">
        <f>IFERROR(VLOOKUP(ТабПозиции[[#This Row],[orderNum]],ТабЗаказы[#Data],MATCH(B$7,ТабЗаказы[#Headers],0),0),"")</f>
        <v>45569</v>
      </c>
      <c r="C1012" t="str">
        <f>MONTH(ТабПозиции[[#This Row],[date]])&amp;"/"&amp;YEAR(ТабПозиции[[#This Row],[date]])</f>
        <v>10/2024</v>
      </c>
      <c r="D1012" s="1" t="str">
        <f>IFERROR(VLOOKUP(ТабПозиции[[#This Row],[orderNum]],ТабЗаказы[#Data],MATCH(D$7,ТабЗаказы[#Headers],0),0),"")</f>
        <v/>
      </c>
      <c r="E1012" s="1" t="str">
        <f>IFERROR(VLOOKUP(ТабПозиции[[#This Row],[orderNum]],ТабЗаказы[#Data],MATCH(E$7,ТабЗаказы[#Headers],0),0),"")</f>
        <v/>
      </c>
      <c r="F1012" s="16" t="s">
        <v>1520</v>
      </c>
      <c r="G1012" s="40" t="s">
        <v>545</v>
      </c>
      <c r="I1012" s="18">
        <v>45571</v>
      </c>
      <c r="J1012" s="10">
        <v>1</v>
      </c>
      <c r="K1012" s="10">
        <v>376</v>
      </c>
      <c r="L1012">
        <v>376</v>
      </c>
      <c r="M1012" s="10">
        <v>396</v>
      </c>
      <c r="N1012">
        <f t="shared" si="18"/>
        <v>396</v>
      </c>
      <c r="P10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Row],[orderNum]],ТабПозиции[orderSumm])&gt;1500),ABS(N1012*VLOOKUP(ТабПозиции[[#This Row],[orderNum]],ТабЗаказы[#Data],MATCH("Percent",ТабЗаказы[#Headers],0),0))/100,200/COUNTIF(ТабПозиции[orderNum],ТабПозиции[[#This Row],[orderNum]])),0),"")</f>
        <v>59</v>
      </c>
      <c r="Q1012">
        <f>IF(OR(ТабПозиции[[#This Row],[item]]="По штрихкоду",ТабПозиции[[#This Row],[item]]="Посылка"),ТабПозиции[[#This Row],[deliverySumm]]+ТабПозиции[[#This Row],[deliveryPost]],SUM(N1012:P1012))</f>
        <v>455</v>
      </c>
      <c r="R1012" s="41">
        <v>455</v>
      </c>
      <c r="S1012" s="46">
        <f>ТабПозиции[[#This Row],[totalSumm]]-ТабПозиции[[#This Row],[payment]]</f>
        <v>0</v>
      </c>
      <c r="T1012" s="18" t="s">
        <v>970</v>
      </c>
      <c r="U1012" s="40" t="s">
        <v>545</v>
      </c>
      <c r="V1012" s="40" t="s">
        <v>545</v>
      </c>
      <c r="W1012" s="40" t="s">
        <v>545</v>
      </c>
      <c r="X1012" s="3"/>
      <c r="Y1012"/>
    </row>
    <row r="1013" spans="1:25" hidden="1" x14ac:dyDescent="0.25">
      <c r="A1013" s="10">
        <v>279</v>
      </c>
      <c r="B1013" s="1">
        <f>IFERROR(VLOOKUP(ТабПозиции[[#This Row],[orderNum]],ТабЗаказы[#Data],MATCH(B$7,ТабЗаказы[#Headers],0),0),"")</f>
        <v>45569</v>
      </c>
      <c r="C1013" t="str">
        <f>MONTH(ТабПозиции[[#This Row],[date]])&amp;"/"&amp;YEAR(ТабПозиции[[#This Row],[date]])</f>
        <v>10/2024</v>
      </c>
      <c r="D1013" s="1" t="str">
        <f>IFERROR(VLOOKUP(ТабПозиции[[#This Row],[orderNum]],ТабЗаказы[#Data],MATCH(D$7,ТабЗаказы[#Headers],0),0),"")</f>
        <v/>
      </c>
      <c r="E1013" s="1" t="str">
        <f>IFERROR(VLOOKUP(ТабПозиции[[#This Row],[orderNum]],ТабЗаказы[#Data],MATCH(E$7,ТабЗаказы[#Headers],0),0),"")</f>
        <v/>
      </c>
      <c r="F1013" s="16" t="s">
        <v>1521</v>
      </c>
      <c r="G1013" s="40" t="s">
        <v>545</v>
      </c>
      <c r="I1013" s="18">
        <v>45571</v>
      </c>
      <c r="J1013" s="10">
        <v>1</v>
      </c>
      <c r="K1013" s="10">
        <v>116</v>
      </c>
      <c r="L1013">
        <v>116</v>
      </c>
      <c r="M1013" s="10">
        <v>123</v>
      </c>
      <c r="N1013">
        <f t="shared" si="18"/>
        <v>123</v>
      </c>
      <c r="P10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Row],[orderNum]],ТабПозиции[orderSumm])&gt;1500),ABS(N1013*VLOOKUP(ТабПозиции[[#This Row],[orderNum]],ТабЗаказы[#Data],MATCH("Percent",ТабЗаказы[#Headers],0),0))/100,200/COUNTIF(ТабПозиции[orderNum],ТабПозиции[[#This Row],[orderNum]])),0),"")</f>
        <v>18</v>
      </c>
      <c r="Q1013">
        <f>IF(OR(ТабПозиции[[#This Row],[item]]="По штрихкоду",ТабПозиции[[#This Row],[item]]="Посылка"),ТабПозиции[[#This Row],[deliverySumm]]+ТабПозиции[[#This Row],[deliveryPost]],SUM(N1013:P1013))</f>
        <v>141</v>
      </c>
      <c r="R1013" s="41">
        <v>141</v>
      </c>
      <c r="S1013" s="46">
        <f>ТабПозиции[[#This Row],[totalSumm]]-ТабПозиции[[#This Row],[payment]]</f>
        <v>0</v>
      </c>
      <c r="T1013" s="18" t="s">
        <v>970</v>
      </c>
      <c r="U1013" s="40" t="s">
        <v>545</v>
      </c>
      <c r="V1013" s="40" t="s">
        <v>545</v>
      </c>
      <c r="W1013" s="40" t="s">
        <v>545</v>
      </c>
      <c r="X1013" s="3"/>
      <c r="Y1013"/>
    </row>
    <row r="1014" spans="1:25" hidden="1" x14ac:dyDescent="0.25">
      <c r="A1014" s="10">
        <v>279</v>
      </c>
      <c r="B1014" s="1">
        <f>IFERROR(VLOOKUP(ТабПозиции[[#This Row],[orderNum]],ТабЗаказы[#Data],MATCH(B$7,ТабЗаказы[#Headers],0),0),"")</f>
        <v>45569</v>
      </c>
      <c r="C1014" t="str">
        <f>MONTH(ТабПозиции[[#This Row],[date]])&amp;"/"&amp;YEAR(ТабПозиции[[#This Row],[date]])</f>
        <v>10/2024</v>
      </c>
      <c r="D1014" s="1" t="str">
        <f>IFERROR(VLOOKUP(ТабПозиции[[#This Row],[orderNum]],ТабЗаказы[#Data],MATCH(D$7,ТабЗаказы[#Headers],0),0),"")</f>
        <v/>
      </c>
      <c r="E1014" s="1" t="str">
        <f>IFERROR(VLOOKUP(ТабПозиции[[#This Row],[orderNum]],ТабЗаказы[#Data],MATCH(E$7,ТабЗаказы[#Headers],0),0),"")</f>
        <v/>
      </c>
      <c r="F1014" s="16" t="s">
        <v>1522</v>
      </c>
      <c r="G1014" s="40" t="s">
        <v>545</v>
      </c>
      <c r="I1014" s="18">
        <v>45571</v>
      </c>
      <c r="J1014" s="10">
        <v>1</v>
      </c>
      <c r="K1014" s="10">
        <v>440</v>
      </c>
      <c r="L1014">
        <v>440</v>
      </c>
      <c r="M1014" s="10">
        <v>464</v>
      </c>
      <c r="N1014">
        <f t="shared" si="18"/>
        <v>464</v>
      </c>
      <c r="P10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Row],[orderNum]],ТабПозиции[orderSumm])&gt;1500),ABS(N1014*VLOOKUP(ТабПозиции[[#This Row],[orderNum]],ТабЗаказы[#Data],MATCH("Percent",ТабЗаказы[#Headers],0),0))/100,200/COUNTIF(ТабПозиции[orderNum],ТабПозиции[[#This Row],[orderNum]])),0),"")</f>
        <v>70</v>
      </c>
      <c r="Q1014">
        <f>IF(OR(ТабПозиции[[#This Row],[item]]="По штрихкоду",ТабПозиции[[#This Row],[item]]="Посылка"),ТабПозиции[[#This Row],[deliverySumm]]+ТабПозиции[[#This Row],[deliveryPost]],SUM(N1014:P1014))</f>
        <v>534</v>
      </c>
      <c r="R1014" s="41">
        <v>534</v>
      </c>
      <c r="S1014" s="46">
        <f>ТабПозиции[[#This Row],[totalSumm]]-ТабПозиции[[#This Row],[payment]]</f>
        <v>0</v>
      </c>
      <c r="T1014" s="18" t="s">
        <v>970</v>
      </c>
      <c r="U1014" s="40" t="s">
        <v>545</v>
      </c>
      <c r="V1014" s="40" t="s">
        <v>545</v>
      </c>
      <c r="W1014" s="40" t="s">
        <v>545</v>
      </c>
      <c r="X1014" s="3"/>
      <c r="Y1014"/>
    </row>
    <row r="1015" spans="1:25" hidden="1" x14ac:dyDescent="0.25">
      <c r="A1015" s="10">
        <v>279</v>
      </c>
      <c r="B1015" s="1">
        <f>IFERROR(VLOOKUP(ТабПозиции[[#This Row],[orderNum]],ТабЗаказы[#Data],MATCH(B$7,ТабЗаказы[#Headers],0),0),"")</f>
        <v>45569</v>
      </c>
      <c r="C1015" t="str">
        <f>MONTH(ТабПозиции[[#This Row],[date]])&amp;"/"&amp;YEAR(ТабПозиции[[#This Row],[date]])</f>
        <v>10/2024</v>
      </c>
      <c r="D1015" s="1" t="str">
        <f>IFERROR(VLOOKUP(ТабПозиции[[#This Row],[orderNum]],ТабЗаказы[#Data],MATCH(D$7,ТабЗаказы[#Headers],0),0),"")</f>
        <v/>
      </c>
      <c r="E1015" s="1" t="str">
        <f>IFERROR(VLOOKUP(ТабПозиции[[#This Row],[orderNum]],ТабЗаказы[#Data],MATCH(E$7,ТабЗаказы[#Headers],0),0),"")</f>
        <v/>
      </c>
      <c r="F1015" s="16" t="s">
        <v>1523</v>
      </c>
      <c r="G1015" s="40" t="s">
        <v>545</v>
      </c>
      <c r="I1015" s="18">
        <v>45571</v>
      </c>
      <c r="J1015" s="10">
        <v>1</v>
      </c>
      <c r="K1015" s="10">
        <v>581</v>
      </c>
      <c r="L1015">
        <v>581</v>
      </c>
      <c r="M1015" s="10">
        <v>612</v>
      </c>
      <c r="N1015">
        <f t="shared" si="18"/>
        <v>612</v>
      </c>
      <c r="P10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Row],[orderNum]],ТабПозиции[orderSumm])&gt;1500),ABS(N1015*VLOOKUP(ТабПозиции[[#This Row],[orderNum]],ТабЗаказы[#Data],MATCH("Percent",ТабЗаказы[#Headers],0),0))/100,200/COUNTIF(ТабПозиции[orderNum],ТабПозиции[[#This Row],[orderNum]])),0),"")</f>
        <v>92</v>
      </c>
      <c r="Q1015">
        <f>IF(OR(ТабПозиции[[#This Row],[item]]="По штрихкоду",ТабПозиции[[#This Row],[item]]="Посылка"),ТабПозиции[[#This Row],[deliverySumm]]+ТабПозиции[[#This Row],[deliveryPost]],SUM(N1015:P1015))</f>
        <v>704</v>
      </c>
      <c r="R1015" s="41">
        <v>704</v>
      </c>
      <c r="S1015" s="46">
        <f>ТабПозиции[[#This Row],[totalSumm]]-ТабПозиции[[#This Row],[payment]]</f>
        <v>0</v>
      </c>
      <c r="T1015" s="18" t="s">
        <v>970</v>
      </c>
      <c r="U1015" s="40" t="s">
        <v>545</v>
      </c>
      <c r="V1015" s="40" t="s">
        <v>545</v>
      </c>
      <c r="W1015" s="40" t="s">
        <v>545</v>
      </c>
      <c r="X1015" s="3"/>
      <c r="Y1015"/>
    </row>
    <row r="1016" spans="1:25" hidden="1" x14ac:dyDescent="0.25">
      <c r="A1016" s="10">
        <v>279</v>
      </c>
      <c r="B1016" s="1">
        <f>IFERROR(VLOOKUP(ТабПозиции[[#This Row],[orderNum]],ТабЗаказы[#Data],MATCH(B$7,ТабЗаказы[#Headers],0),0),"")</f>
        <v>45569</v>
      </c>
      <c r="C1016" t="str">
        <f>MONTH(ТабПозиции[[#This Row],[date]])&amp;"/"&amp;YEAR(ТабПозиции[[#This Row],[date]])</f>
        <v>10/2024</v>
      </c>
      <c r="D1016" s="1" t="str">
        <f>IFERROR(VLOOKUP(ТабПозиции[[#This Row],[orderNum]],ТабЗаказы[#Data],MATCH(D$7,ТабЗаказы[#Headers],0),0),"")</f>
        <v/>
      </c>
      <c r="E1016" s="1" t="str">
        <f>IFERROR(VLOOKUP(ТабПозиции[[#This Row],[orderNum]],ТабЗаказы[#Data],MATCH(E$7,ТабЗаказы[#Headers],0),0),"")</f>
        <v/>
      </c>
      <c r="F1016" s="16" t="s">
        <v>1524</v>
      </c>
      <c r="G1016" s="40" t="s">
        <v>545</v>
      </c>
      <c r="I1016" s="18">
        <v>45571</v>
      </c>
      <c r="J1016" s="10">
        <v>1</v>
      </c>
      <c r="K1016" s="10">
        <v>279</v>
      </c>
      <c r="L1016">
        <v>279</v>
      </c>
      <c r="M1016" s="10">
        <v>294</v>
      </c>
      <c r="N1016">
        <f t="shared" si="18"/>
        <v>294</v>
      </c>
      <c r="P10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Row],[orderNum]],ТабПозиции[orderSumm])&gt;1500),ABS(N1016*VLOOKUP(ТабПозиции[[#This Row],[orderNum]],ТабЗаказы[#Data],MATCH("Percent",ТабЗаказы[#Headers],0),0))/100,200/COUNTIF(ТабПозиции[orderNum],ТабПозиции[[#This Row],[orderNum]])),0),"")</f>
        <v>44</v>
      </c>
      <c r="Q1016">
        <f>IF(OR(ТабПозиции[[#This Row],[item]]="По штрихкоду",ТабПозиции[[#This Row],[item]]="Посылка"),ТабПозиции[[#This Row],[deliverySumm]]+ТабПозиции[[#This Row],[deliveryPost]],SUM(N1016:P1016))</f>
        <v>338</v>
      </c>
      <c r="R1016" s="41">
        <v>338</v>
      </c>
      <c r="S1016" s="46">
        <f>ТабПозиции[[#This Row],[totalSumm]]-ТабПозиции[[#This Row],[payment]]</f>
        <v>0</v>
      </c>
      <c r="T1016" s="18" t="s">
        <v>970</v>
      </c>
      <c r="U1016" s="40" t="s">
        <v>545</v>
      </c>
      <c r="V1016" s="40" t="s">
        <v>545</v>
      </c>
      <c r="W1016" s="40" t="s">
        <v>545</v>
      </c>
      <c r="X1016" s="3"/>
      <c r="Y1016"/>
    </row>
    <row r="1017" spans="1:25" hidden="1" x14ac:dyDescent="0.25">
      <c r="A1017" s="10">
        <v>279</v>
      </c>
      <c r="B1017" s="1">
        <f>IFERROR(VLOOKUP(ТабПозиции[[#This Row],[orderNum]],ТабЗаказы[#Data],MATCH(B$7,ТабЗаказы[#Headers],0),0),"")</f>
        <v>45569</v>
      </c>
      <c r="C1017" t="str">
        <f>MONTH(ТабПозиции[[#This Row],[date]])&amp;"/"&amp;YEAR(ТабПозиции[[#This Row],[date]])</f>
        <v>10/2024</v>
      </c>
      <c r="D1017" s="1" t="str">
        <f>IFERROR(VLOOKUP(ТабПозиции[[#This Row],[orderNum]],ТабЗаказы[#Data],MATCH(D$7,ТабЗаказы[#Headers],0),0),"")</f>
        <v/>
      </c>
      <c r="E1017" s="1" t="str">
        <f>IFERROR(VLOOKUP(ТабПозиции[[#This Row],[orderNum]],ТабЗаказы[#Data],MATCH(E$7,ТабЗаказы[#Headers],0),0),"")</f>
        <v/>
      </c>
      <c r="F1017" s="16" t="s">
        <v>1525</v>
      </c>
      <c r="G1017" s="40" t="s">
        <v>545</v>
      </c>
      <c r="I1017" s="18">
        <v>45572</v>
      </c>
      <c r="J1017" s="10">
        <v>1</v>
      </c>
      <c r="K1017" s="10">
        <v>116</v>
      </c>
      <c r="L1017">
        <v>116</v>
      </c>
      <c r="M1017" s="10">
        <v>123</v>
      </c>
      <c r="N1017">
        <f t="shared" si="18"/>
        <v>123</v>
      </c>
      <c r="P10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Row],[orderNum]],ТабПозиции[orderSumm])&gt;1500),ABS(N1017*VLOOKUP(ТабПозиции[[#This Row],[orderNum]],ТабЗаказы[#Data],MATCH("Percent",ТабЗаказы[#Headers],0),0))/100,200/COUNTIF(ТабПозиции[orderNum],ТабПозиции[[#This Row],[orderNum]])),0),"")</f>
        <v>18</v>
      </c>
      <c r="Q1017">
        <f>IF(OR(ТабПозиции[[#This Row],[item]]="По штрихкоду",ТабПозиции[[#This Row],[item]]="Посылка"),ТабПозиции[[#This Row],[deliverySumm]]+ТабПозиции[[#This Row],[deliveryPost]],SUM(N1017:P1017))</f>
        <v>141</v>
      </c>
      <c r="R1017" s="41">
        <v>141</v>
      </c>
      <c r="S1017" s="46">
        <f>ТабПозиции[[#This Row],[totalSumm]]-ТабПозиции[[#This Row],[payment]]</f>
        <v>0</v>
      </c>
      <c r="T1017" s="18" t="s">
        <v>970</v>
      </c>
      <c r="U1017" s="40" t="s">
        <v>545</v>
      </c>
      <c r="V1017" s="40" t="s">
        <v>545</v>
      </c>
      <c r="W1017" s="40" t="s">
        <v>545</v>
      </c>
      <c r="X1017" s="3"/>
      <c r="Y1017"/>
    </row>
    <row r="1018" spans="1:25" hidden="1" x14ac:dyDescent="0.25">
      <c r="A1018" s="10">
        <v>279</v>
      </c>
      <c r="B1018" s="1">
        <f>IFERROR(VLOOKUP(ТабПозиции[[#This Row],[orderNum]],ТабЗаказы[#Data],MATCH(B$7,ТабЗаказы[#Headers],0),0),"")</f>
        <v>45569</v>
      </c>
      <c r="C1018" t="str">
        <f>MONTH(ТабПозиции[[#This Row],[date]])&amp;"/"&amp;YEAR(ТабПозиции[[#This Row],[date]])</f>
        <v>10/2024</v>
      </c>
      <c r="D1018" s="1" t="str">
        <f>IFERROR(VLOOKUP(ТабПозиции[[#This Row],[orderNum]],ТабЗаказы[#Data],MATCH(D$7,ТабЗаказы[#Headers],0),0),"")</f>
        <v/>
      </c>
      <c r="E1018" s="1" t="str">
        <f>IFERROR(VLOOKUP(ТабПозиции[[#This Row],[orderNum]],ТабЗаказы[#Data],MATCH(E$7,ТабЗаказы[#Headers],0),0),"")</f>
        <v/>
      </c>
      <c r="F1018" s="16" t="s">
        <v>1526</v>
      </c>
      <c r="G1018" s="40" t="s">
        <v>545</v>
      </c>
      <c r="I1018" s="18">
        <v>45573</v>
      </c>
      <c r="J1018" s="10">
        <v>1</v>
      </c>
      <c r="K1018" s="10">
        <v>188</v>
      </c>
      <c r="L1018">
        <v>188</v>
      </c>
      <c r="M1018" s="10">
        <v>198</v>
      </c>
      <c r="N1018">
        <f t="shared" si="18"/>
        <v>198</v>
      </c>
      <c r="P10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Row],[orderNum]],ТабПозиции[orderSumm])&gt;1500),ABS(N1018*VLOOKUP(ТабПозиции[[#This Row],[orderNum]],ТабЗаказы[#Data],MATCH("Percent",ТабЗаказы[#Headers],0),0))/100,200/COUNTIF(ТабПозиции[orderNum],ТабПозиции[[#This Row],[orderNum]])),0),"")</f>
        <v>30</v>
      </c>
      <c r="Q1018">
        <f>IF(OR(ТабПозиции[[#This Row],[item]]="По штрихкоду",ТабПозиции[[#This Row],[item]]="Посылка"),ТабПозиции[[#This Row],[deliverySumm]]+ТабПозиции[[#This Row],[deliveryPost]],SUM(N1018:P1018))</f>
        <v>228</v>
      </c>
      <c r="R1018" s="41">
        <v>228</v>
      </c>
      <c r="S1018" s="46">
        <f>ТабПозиции[[#This Row],[totalSumm]]-ТабПозиции[[#This Row],[payment]]</f>
        <v>0</v>
      </c>
      <c r="T1018" s="18" t="s">
        <v>970</v>
      </c>
      <c r="U1018" s="40" t="s">
        <v>545</v>
      </c>
      <c r="V1018" s="40" t="s">
        <v>545</v>
      </c>
      <c r="W1018" s="40" t="s">
        <v>545</v>
      </c>
      <c r="X1018" s="3"/>
      <c r="Y1018"/>
    </row>
    <row r="1019" spans="1:25" hidden="1" x14ac:dyDescent="0.25">
      <c r="A1019" s="10">
        <v>279</v>
      </c>
      <c r="B1019" s="1">
        <f>IFERROR(VLOOKUP(ТабПозиции[[#This Row],[orderNum]],ТабЗаказы[#Data],MATCH(B$7,ТабЗаказы[#Headers],0),0),"")</f>
        <v>45569</v>
      </c>
      <c r="C1019" t="str">
        <f>MONTH(ТабПозиции[[#This Row],[date]])&amp;"/"&amp;YEAR(ТабПозиции[[#This Row],[date]])</f>
        <v>10/2024</v>
      </c>
      <c r="D1019" s="1" t="str">
        <f>IFERROR(VLOOKUP(ТабПозиции[[#This Row],[orderNum]],ТабЗаказы[#Data],MATCH(D$7,ТабЗаказы[#Headers],0),0),"")</f>
        <v/>
      </c>
      <c r="E1019" s="1" t="str">
        <f>IFERROR(VLOOKUP(ТабПозиции[[#This Row],[orderNum]],ТабЗаказы[#Data],MATCH(E$7,ТабЗаказы[#Headers],0),0),"")</f>
        <v/>
      </c>
      <c r="F1019" s="16" t="s">
        <v>1527</v>
      </c>
      <c r="G1019" s="40" t="s">
        <v>545</v>
      </c>
      <c r="I1019" s="18">
        <v>45572</v>
      </c>
      <c r="J1019" s="10">
        <v>1</v>
      </c>
      <c r="K1019" s="10">
        <v>155</v>
      </c>
      <c r="L1019">
        <v>155</v>
      </c>
      <c r="M1019" s="10">
        <v>164</v>
      </c>
      <c r="N1019">
        <f t="shared" si="18"/>
        <v>164</v>
      </c>
      <c r="P10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Row],[orderNum]],ТабПозиции[orderSumm])&gt;1500),ABS(N1019*VLOOKUP(ТабПозиции[[#This Row],[orderNum]],ТабЗаказы[#Data],MATCH("Percent",ТабЗаказы[#Headers],0),0))/100,200/COUNTIF(ТабПозиции[orderNum],ТабПозиции[[#This Row],[orderNum]])),0),"")</f>
        <v>25</v>
      </c>
      <c r="Q1019">
        <f>IF(OR(ТабПозиции[[#This Row],[item]]="По штрихкоду",ТабПозиции[[#This Row],[item]]="Посылка"),ТабПозиции[[#This Row],[deliverySumm]]+ТабПозиции[[#This Row],[deliveryPost]],SUM(N1019:P1019))</f>
        <v>189</v>
      </c>
      <c r="R1019" s="41">
        <v>189</v>
      </c>
      <c r="S1019" s="46">
        <f>ТабПозиции[[#This Row],[totalSumm]]-ТабПозиции[[#This Row],[payment]]</f>
        <v>0</v>
      </c>
      <c r="T1019" s="18" t="s">
        <v>970</v>
      </c>
      <c r="U1019" s="40" t="s">
        <v>545</v>
      </c>
      <c r="V1019" s="40" t="s">
        <v>545</v>
      </c>
      <c r="W1019" s="40" t="s">
        <v>545</v>
      </c>
      <c r="X1019" s="3"/>
      <c r="Y1019"/>
    </row>
    <row r="1020" spans="1:25" hidden="1" x14ac:dyDescent="0.25">
      <c r="A1020" s="10">
        <v>279</v>
      </c>
      <c r="B1020" s="1">
        <f>IFERROR(VLOOKUP(ТабПозиции[[#This Row],[orderNum]],ТабЗаказы[#Data],MATCH(B$7,ТабЗаказы[#Headers],0),0),"")</f>
        <v>45569</v>
      </c>
      <c r="C1020" t="str">
        <f>MONTH(ТабПозиции[[#This Row],[date]])&amp;"/"&amp;YEAR(ТабПозиции[[#This Row],[date]])</f>
        <v>10/2024</v>
      </c>
      <c r="D1020" s="1" t="str">
        <f>IFERROR(VLOOKUP(ТабПозиции[[#This Row],[orderNum]],ТабЗаказы[#Data],MATCH(D$7,ТабЗаказы[#Headers],0),0),"")</f>
        <v/>
      </c>
      <c r="E1020" s="1" t="str">
        <f>IFERROR(VLOOKUP(ТабПозиции[[#This Row],[orderNum]],ТабЗаказы[#Data],MATCH(E$7,ТабЗаказы[#Headers],0),0),"")</f>
        <v/>
      </c>
      <c r="F1020" s="16" t="s">
        <v>1528</v>
      </c>
      <c r="G1020" s="40" t="s">
        <v>545</v>
      </c>
      <c r="I1020" s="18">
        <v>45572</v>
      </c>
      <c r="J1020" s="10">
        <v>1</v>
      </c>
      <c r="K1020" s="10">
        <v>152</v>
      </c>
      <c r="L1020">
        <v>152</v>
      </c>
      <c r="M1020" s="10">
        <v>160</v>
      </c>
      <c r="N1020">
        <f t="shared" si="18"/>
        <v>160</v>
      </c>
      <c r="P10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Row],[orderNum]],ТабПозиции[orderSumm])&gt;1500),ABS(N1020*VLOOKUP(ТабПозиции[[#This Row],[orderNum]],ТабЗаказы[#Data],MATCH("Percent",ТабЗаказы[#Headers],0),0))/100,200/COUNTIF(ТабПозиции[orderNum],ТабПозиции[[#This Row],[orderNum]])),0),"")</f>
        <v>24</v>
      </c>
      <c r="Q1020">
        <f>IF(OR(ТабПозиции[[#This Row],[item]]="По штрихкоду",ТабПозиции[[#This Row],[item]]="Посылка"),ТабПозиции[[#This Row],[deliverySumm]]+ТабПозиции[[#This Row],[deliveryPost]],SUM(N1020:P1020))</f>
        <v>184</v>
      </c>
      <c r="R1020" s="41">
        <v>184</v>
      </c>
      <c r="S1020" s="46">
        <f>ТабПозиции[[#This Row],[totalSumm]]-ТабПозиции[[#This Row],[payment]]</f>
        <v>0</v>
      </c>
      <c r="T1020" s="18" t="s">
        <v>970</v>
      </c>
      <c r="U1020" s="40" t="s">
        <v>545</v>
      </c>
      <c r="V1020" s="40" t="s">
        <v>545</v>
      </c>
      <c r="W1020" s="40" t="s">
        <v>545</v>
      </c>
      <c r="X1020" s="3"/>
      <c r="Y1020"/>
    </row>
    <row r="1021" spans="1:25" hidden="1" x14ac:dyDescent="0.25">
      <c r="A1021" s="10">
        <v>279</v>
      </c>
      <c r="B1021" s="1">
        <f>IFERROR(VLOOKUP(ТабПозиции[[#This Row],[orderNum]],ТабЗаказы[#Data],MATCH(B$7,ТабЗаказы[#Headers],0),0),"")</f>
        <v>45569</v>
      </c>
      <c r="C1021" t="str">
        <f>MONTH(ТабПозиции[[#This Row],[date]])&amp;"/"&amp;YEAR(ТабПозиции[[#This Row],[date]])</f>
        <v>10/2024</v>
      </c>
      <c r="D1021" s="1" t="str">
        <f>IFERROR(VLOOKUP(ТабПозиции[[#This Row],[orderNum]],ТабЗаказы[#Data],MATCH(D$7,ТабЗаказы[#Headers],0),0),"")</f>
        <v/>
      </c>
      <c r="E1021" s="1" t="str">
        <f>IFERROR(VLOOKUP(ТабПозиции[[#This Row],[orderNum]],ТабЗаказы[#Data],MATCH(E$7,ТабЗаказы[#Headers],0),0),"")</f>
        <v/>
      </c>
      <c r="F1021" s="16" t="s">
        <v>1529</v>
      </c>
      <c r="G1021" s="40" t="s">
        <v>545</v>
      </c>
      <c r="I1021" s="18">
        <v>45571</v>
      </c>
      <c r="J1021" s="10">
        <v>1</v>
      </c>
      <c r="K1021" s="10">
        <v>162</v>
      </c>
      <c r="L1021">
        <v>162</v>
      </c>
      <c r="M1021" s="10">
        <v>171</v>
      </c>
      <c r="N1021">
        <f t="shared" si="18"/>
        <v>171</v>
      </c>
      <c r="P10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Row],[orderNum]],ТабПозиции[orderSumm])&gt;1500),ABS(N1021*VLOOKUP(ТабПозиции[[#This Row],[orderNum]],ТабЗаказы[#Data],MATCH("Percent",ТабЗаказы[#Headers],0),0))/100,200/COUNTIF(ТабПозиции[orderNum],ТабПозиции[[#This Row],[orderNum]])),0),"")</f>
        <v>26</v>
      </c>
      <c r="Q1021">
        <f>IF(OR(ТабПозиции[[#This Row],[item]]="По штрихкоду",ТабПозиции[[#This Row],[item]]="Посылка"),ТабПозиции[[#This Row],[deliverySumm]]+ТабПозиции[[#This Row],[deliveryPost]],SUM(N1021:P1021))</f>
        <v>197</v>
      </c>
      <c r="R1021" s="41">
        <v>197</v>
      </c>
      <c r="S1021" s="46">
        <f>ТабПозиции[[#This Row],[totalSumm]]-ТабПозиции[[#This Row],[payment]]</f>
        <v>0</v>
      </c>
      <c r="T1021" s="18" t="s">
        <v>970</v>
      </c>
      <c r="U1021" s="40" t="s">
        <v>545</v>
      </c>
      <c r="V1021" s="40" t="s">
        <v>545</v>
      </c>
      <c r="W1021" s="40" t="s">
        <v>545</v>
      </c>
      <c r="X1021" s="3"/>
      <c r="Y1021"/>
    </row>
    <row r="1022" spans="1:25" hidden="1" x14ac:dyDescent="0.25">
      <c r="A1022" s="10">
        <v>279</v>
      </c>
      <c r="B1022" s="1">
        <f>IFERROR(VLOOKUP(ТабПозиции[[#This Row],[orderNum]],ТабЗаказы[#Data],MATCH(B$7,ТабЗаказы[#Headers],0),0),"")</f>
        <v>45569</v>
      </c>
      <c r="C1022" t="str">
        <f>MONTH(ТабПозиции[[#This Row],[date]])&amp;"/"&amp;YEAR(ТабПозиции[[#This Row],[date]])</f>
        <v>10/2024</v>
      </c>
      <c r="D1022" s="1" t="str">
        <f>IFERROR(VLOOKUP(ТабПозиции[[#This Row],[orderNum]],ТабЗаказы[#Data],MATCH(D$7,ТабЗаказы[#Headers],0),0),"")</f>
        <v/>
      </c>
      <c r="E1022" s="1" t="str">
        <f>IFERROR(VLOOKUP(ТабПозиции[[#This Row],[orderNum]],ТабЗаказы[#Data],MATCH(E$7,ТабЗаказы[#Headers],0),0),"")</f>
        <v/>
      </c>
      <c r="F1022" s="16" t="s">
        <v>1530</v>
      </c>
      <c r="G1022" s="40" t="s">
        <v>545</v>
      </c>
      <c r="I1022" s="18">
        <v>45573</v>
      </c>
      <c r="J1022" s="10">
        <v>1</v>
      </c>
      <c r="K1022" s="10">
        <v>250</v>
      </c>
      <c r="L1022">
        <v>250</v>
      </c>
      <c r="M1022" s="10">
        <v>264</v>
      </c>
      <c r="N1022">
        <f t="shared" si="18"/>
        <v>264</v>
      </c>
      <c r="P10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Row],[orderNum]],ТабПозиции[orderSumm])&gt;1500),ABS(N1022*VLOOKUP(ТабПозиции[[#This Row],[orderNum]],ТабЗаказы[#Data],MATCH("Percent",ТабЗаказы[#Headers],0),0))/100,200/COUNTIF(ТабПозиции[orderNum],ТабПозиции[[#This Row],[orderNum]])),0),"")</f>
        <v>40</v>
      </c>
      <c r="Q1022">
        <f>IF(OR(ТабПозиции[[#This Row],[item]]="По штрихкоду",ТабПозиции[[#This Row],[item]]="Посылка"),ТабПозиции[[#This Row],[deliverySumm]]+ТабПозиции[[#This Row],[deliveryPost]],SUM(N1022:P1022))</f>
        <v>304</v>
      </c>
      <c r="R1022" s="41">
        <v>304</v>
      </c>
      <c r="S1022" s="46">
        <f>ТабПозиции[[#This Row],[totalSumm]]-ТабПозиции[[#This Row],[payment]]</f>
        <v>0</v>
      </c>
      <c r="T1022" s="18" t="s">
        <v>970</v>
      </c>
      <c r="U1022" s="40" t="s">
        <v>545</v>
      </c>
      <c r="V1022" s="40" t="s">
        <v>545</v>
      </c>
      <c r="W1022" s="40" t="s">
        <v>545</v>
      </c>
      <c r="X1022" s="3"/>
      <c r="Y1022"/>
    </row>
    <row r="1023" spans="1:25" hidden="1" x14ac:dyDescent="0.25">
      <c r="A1023" s="10">
        <v>279</v>
      </c>
      <c r="B1023" s="1">
        <f>IFERROR(VLOOKUP(ТабПозиции[[#This Row],[orderNum]],ТабЗаказы[#Data],MATCH(B$7,ТабЗаказы[#Headers],0),0),"")</f>
        <v>45569</v>
      </c>
      <c r="C1023" t="str">
        <f>MONTH(ТабПозиции[[#This Row],[date]])&amp;"/"&amp;YEAR(ТабПозиции[[#This Row],[date]])</f>
        <v>10/2024</v>
      </c>
      <c r="D1023" s="1" t="str">
        <f>IFERROR(VLOOKUP(ТабПозиции[[#This Row],[orderNum]],ТабЗаказы[#Data],MATCH(D$7,ТабЗаказы[#Headers],0),0),"")</f>
        <v/>
      </c>
      <c r="E1023" s="1" t="str">
        <f>IFERROR(VLOOKUP(ТабПозиции[[#This Row],[orderNum]],ТабЗаказы[#Data],MATCH(E$7,ТабЗаказы[#Headers],0),0),"")</f>
        <v/>
      </c>
      <c r="F1023" s="16" t="s">
        <v>1531</v>
      </c>
      <c r="G1023" s="40" t="s">
        <v>545</v>
      </c>
      <c r="I1023" s="18">
        <v>45572</v>
      </c>
      <c r="J1023" s="10">
        <v>1</v>
      </c>
      <c r="K1023" s="10">
        <v>196</v>
      </c>
      <c r="L1023">
        <v>196</v>
      </c>
      <c r="M1023" s="10">
        <v>207</v>
      </c>
      <c r="N1023">
        <f t="shared" si="18"/>
        <v>207</v>
      </c>
      <c r="P10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Row],[orderNum]],ТабПозиции[orderSumm])&gt;1500),ABS(N1023*VLOOKUP(ТабПозиции[[#This Row],[orderNum]],ТабЗаказы[#Data],MATCH("Percent",ТабЗаказы[#Headers],0),0))/100,200/COUNTIF(ТабПозиции[orderNum],ТабПозиции[[#This Row],[orderNum]])),0),"")</f>
        <v>31</v>
      </c>
      <c r="Q1023">
        <f>IF(OR(ТабПозиции[[#This Row],[item]]="По штрихкоду",ТабПозиции[[#This Row],[item]]="Посылка"),ТабПозиции[[#This Row],[deliverySumm]]+ТабПозиции[[#This Row],[deliveryPost]],SUM(N1023:P1023))</f>
        <v>238</v>
      </c>
      <c r="R1023" s="41">
        <v>238</v>
      </c>
      <c r="S1023" s="46">
        <f>ТабПозиции[[#This Row],[totalSumm]]-ТабПозиции[[#This Row],[payment]]</f>
        <v>0</v>
      </c>
      <c r="T1023" s="18" t="s">
        <v>970</v>
      </c>
      <c r="U1023" s="40" t="s">
        <v>545</v>
      </c>
      <c r="V1023" s="40" t="s">
        <v>545</v>
      </c>
      <c r="W1023" s="40" t="s">
        <v>545</v>
      </c>
      <c r="X1023" s="3"/>
      <c r="Y1023"/>
    </row>
    <row r="1024" spans="1:25" hidden="1" x14ac:dyDescent="0.25">
      <c r="A1024" s="10">
        <v>280</v>
      </c>
      <c r="B1024" s="1">
        <f>IFERROR(VLOOKUP(ТабПозиции[[#This Row],[orderNum]],ТабЗаказы[#Data],MATCH(B$7,ТабЗаказы[#Headers],0),0),"")</f>
        <v>45571</v>
      </c>
      <c r="C1024" t="str">
        <f>MONTH(ТабПозиции[[#This Row],[date]])&amp;"/"&amp;YEAR(ТабПозиции[[#This Row],[date]])</f>
        <v>10/2024</v>
      </c>
      <c r="D1024" s="1" t="str">
        <f>IFERROR(VLOOKUP(ТабПозиции[[#This Row],[orderNum]],ТабЗаказы[#Data],MATCH(D$7,ТабЗаказы[#Headers],0),0),"")</f>
        <v/>
      </c>
      <c r="E1024" s="1" t="str">
        <f>IFERROR(VLOOKUP(ТабПозиции[[#This Row],[orderNum]],ТабЗаказы[#Data],MATCH(E$7,ТабЗаказы[#Headers],0),0),"")</f>
        <v/>
      </c>
      <c r="F1024" s="16" t="s">
        <v>1532</v>
      </c>
      <c r="G1024" s="40" t="s">
        <v>545</v>
      </c>
      <c r="I1024" s="18">
        <v>45572</v>
      </c>
      <c r="J1024" s="10">
        <v>1</v>
      </c>
      <c r="K1024" s="10">
        <v>1615</v>
      </c>
      <c r="L1024">
        <v>1615</v>
      </c>
      <c r="M1024" s="10">
        <v>1655</v>
      </c>
      <c r="N1024">
        <f t="shared" si="18"/>
        <v>1655</v>
      </c>
      <c r="P10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Row],[orderNum]],ТабПозиции[orderSumm])&gt;1500),ABS(N1024*VLOOKUP(ТабПозиции[[#This Row],[orderNum]],ТабЗаказы[#Data],MATCH("Percent",ТабЗаказы[#Headers],0),0))/100,200/COUNTIF(ТабПозиции[orderNum],ТабПозиции[[#This Row],[orderNum]])),0),"")</f>
        <v>166</v>
      </c>
      <c r="Q1024">
        <f>IF(OR(ТабПозиции[[#This Row],[item]]="По штрихкоду",ТабПозиции[[#This Row],[item]]="Посылка"),ТабПозиции[[#This Row],[deliverySumm]]+ТабПозиции[[#This Row],[deliveryPost]],SUM(N1024:P1024))</f>
        <v>1821</v>
      </c>
      <c r="R1024" s="41">
        <v>1821</v>
      </c>
      <c r="S1024" s="46">
        <f>ТабПозиции[[#This Row],[totalSumm]]-ТабПозиции[[#This Row],[payment]]</f>
        <v>0</v>
      </c>
      <c r="T1024" s="18" t="s">
        <v>970</v>
      </c>
      <c r="U1024" s="40" t="s">
        <v>545</v>
      </c>
      <c r="V1024" s="40" t="s">
        <v>545</v>
      </c>
      <c r="W1024" s="40" t="s">
        <v>545</v>
      </c>
      <c r="X1024" s="3"/>
      <c r="Y1024"/>
    </row>
    <row r="1025" spans="1:25" hidden="1" x14ac:dyDescent="0.25">
      <c r="A1025" s="10">
        <v>281</v>
      </c>
      <c r="B1025" s="1">
        <f>IFERROR(VLOOKUP(ТабПозиции[[#This Row],[orderNum]],ТабЗаказы[#Data],MATCH(B$7,ТабЗаказы[#Headers],0),0),"")</f>
        <v>45572</v>
      </c>
      <c r="C1025" t="str">
        <f>MONTH(ТабПозиции[[#This Row],[date]])&amp;"/"&amp;YEAR(ТабПозиции[[#This Row],[date]])</f>
        <v>10/2024</v>
      </c>
      <c r="D1025" s="1" t="str">
        <f>IFERROR(VLOOKUP(ТабПозиции[[#This Row],[orderNum]],ТабЗаказы[#Data],MATCH(D$7,ТабЗаказы[#Headers],0),0),"")</f>
        <v/>
      </c>
      <c r="E1025" s="1" t="str">
        <f>IFERROR(VLOOKUP(ТабПозиции[[#This Row],[orderNum]],ТабЗаказы[#Data],MATCH(E$7,ТабЗаказы[#Headers],0),0),"")</f>
        <v/>
      </c>
      <c r="F1025" s="16" t="s">
        <v>763</v>
      </c>
      <c r="G1025" s="40" t="s">
        <v>545</v>
      </c>
      <c r="I1025" s="18">
        <v>45575</v>
      </c>
      <c r="J1025" s="10">
        <v>1</v>
      </c>
      <c r="K1025" s="10">
        <v>494</v>
      </c>
      <c r="L1025">
        <v>494</v>
      </c>
      <c r="M1025" s="10">
        <v>524</v>
      </c>
      <c r="N1025">
        <f t="shared" si="18"/>
        <v>524</v>
      </c>
      <c r="P10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Row],[orderNum]],ТабПозиции[orderSumm])&gt;1500),ABS(N1025*VLOOKUP(ТабПозиции[[#This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1025">
        <f>IF(OR(ТабПозиции[[#This Row],[item]]="По штрихкоду",ТабПозиции[[#This Row],[item]]="Посылка"),ТабПозиции[[#This Row],[deliverySumm]]+ТабПозиции[[#This Row],[deliveryPost]],SUM(N1025:P1025))</f>
        <v>624</v>
      </c>
      <c r="R1025" s="41">
        <v>624</v>
      </c>
      <c r="S1025" s="46">
        <f>ТабПозиции[[#This Row],[totalSumm]]-ТабПозиции[[#This Row],[payment]]</f>
        <v>0</v>
      </c>
      <c r="T1025" s="18" t="s">
        <v>960</v>
      </c>
      <c r="U1025" s="40" t="s">
        <v>545</v>
      </c>
      <c r="V1025" s="40" t="s">
        <v>545</v>
      </c>
      <c r="W1025" s="40" t="s">
        <v>545</v>
      </c>
      <c r="X1025" s="3"/>
      <c r="Y1025"/>
    </row>
    <row r="1026" spans="1:25" hidden="1" x14ac:dyDescent="0.25">
      <c r="A1026" s="10">
        <v>282</v>
      </c>
      <c r="B1026" s="1">
        <f>IFERROR(VLOOKUP(ТабПозиции[[#This Row],[orderNum]],ТабЗаказы[#Data],MATCH(B$7,ТабЗаказы[#Headers],0),0),"")</f>
        <v>45572</v>
      </c>
      <c r="C1026" t="str">
        <f>MONTH(ТабПозиции[[#This Row],[date]])&amp;"/"&amp;YEAR(ТабПозиции[[#This Row],[date]])</f>
        <v>10/2024</v>
      </c>
      <c r="D1026" s="1" t="str">
        <f>IFERROR(VLOOKUP(ТабПозиции[[#This Row],[orderNum]],ТабЗаказы[#Data],MATCH(D$7,ТабЗаказы[#Headers],0),0),"")</f>
        <v/>
      </c>
      <c r="E1026" s="1" t="str">
        <f>IFERROR(VLOOKUP(ТабПозиции[[#This Row],[orderNum]],ТабЗаказы[#Data],MATCH(E$7,ТабЗаказы[#Headers],0),0),"")</f>
        <v/>
      </c>
      <c r="F1026" s="10" t="s">
        <v>715</v>
      </c>
      <c r="G1026" s="40" t="s">
        <v>545</v>
      </c>
      <c r="I1026" s="18">
        <v>45577</v>
      </c>
      <c r="J1026" s="10">
        <v>1</v>
      </c>
      <c r="K1026" s="10">
        <v>5000</v>
      </c>
      <c r="L1026">
        <v>5000</v>
      </c>
      <c r="M1026" s="10">
        <v>5000</v>
      </c>
      <c r="N1026">
        <f t="shared" si="18"/>
        <v>5000</v>
      </c>
      <c r="O1026" s="10">
        <v>190</v>
      </c>
      <c r="P10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Row],[orderNum]],ТабПозиции[orderSumm])&gt;1500),ABS(N1026*VLOOKUP(ТабПозиции[[#This Row],[orderNum]],ТабЗаказы[#Data],MATCH("Percent",ТабЗаказы[#Headers],0),0))/100,200/COUNTIF(ТабПозиции[orderNum],ТабПозиции[[#This Row],[orderNum]])),0),"")</f>
        <v>750</v>
      </c>
      <c r="Q1026">
        <f>IF(OR(ТабПозиции[[#This Row],[item]]="По штрихкоду",ТабПозиции[[#This Row],[item]]="Посылка"),ТабПозиции[[#This Row],[deliverySumm]]+ТабПозиции[[#This Row],[deliveryPost]],SUM(N1026:P1026))</f>
        <v>5940</v>
      </c>
      <c r="R1026" s="41">
        <v>5940</v>
      </c>
      <c r="S1026" s="46">
        <f>ТабПозиции[[#This Row],[totalSumm]]-ТабПозиции[[#This Row],[payment]]</f>
        <v>0</v>
      </c>
      <c r="T1026" s="18" t="s">
        <v>617</v>
      </c>
      <c r="U1026" s="40" t="s">
        <v>545</v>
      </c>
      <c r="V1026" s="40" t="s">
        <v>545</v>
      </c>
      <c r="W1026" s="40" t="s">
        <v>545</v>
      </c>
      <c r="X1026" s="3"/>
      <c r="Y1026"/>
    </row>
    <row r="1027" spans="1:25" hidden="1" x14ac:dyDescent="0.25">
      <c r="A1027" s="10">
        <v>281</v>
      </c>
      <c r="B1027" s="1">
        <f>IFERROR(VLOOKUP(ТабПозиции[[#This Row],[orderNum]],ТабЗаказы[#Data],MATCH(B$7,ТабЗаказы[#Headers],0),0),"")</f>
        <v>45572</v>
      </c>
      <c r="C1027" t="str">
        <f>MONTH(ТабПозиции[[#This Row],[date]])&amp;"/"&amp;YEAR(ТабПозиции[[#This Row],[date]])</f>
        <v>10/2024</v>
      </c>
      <c r="D1027" s="1" t="str">
        <f>IFERROR(VLOOKUP(ТабПозиции[[#This Row],[orderNum]],ТабЗаказы[#Data],MATCH(D$7,ТабЗаказы[#Headers],0),0),"")</f>
        <v/>
      </c>
      <c r="E1027" s="1" t="str">
        <f>IFERROR(VLOOKUP(ТабПозиции[[#This Row],[orderNum]],ТабЗаказы[#Data],MATCH(E$7,ТабЗаказы[#Headers],0),0),"")</f>
        <v/>
      </c>
      <c r="F1027" s="16" t="s">
        <v>1533</v>
      </c>
      <c r="G1027" s="40" t="s">
        <v>545</v>
      </c>
      <c r="I1027" s="18">
        <v>45575</v>
      </c>
      <c r="J1027" s="10">
        <v>1</v>
      </c>
      <c r="K1027" s="10">
        <v>580</v>
      </c>
      <c r="L1027">
        <v>580</v>
      </c>
      <c r="M1027" s="10">
        <v>580</v>
      </c>
      <c r="N1027">
        <f t="shared" si="18"/>
        <v>580</v>
      </c>
      <c r="P10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Row],[orderNum]],ТабПозиции[orderSumm])&gt;1500),ABS(N1027*VLOOKUP(ТабПозиции[[#This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1027">
        <f>IF(OR(ТабПозиции[[#This Row],[item]]="По штрихкоду",ТабПозиции[[#This Row],[item]]="Посылка"),ТабПозиции[[#This Row],[deliverySumm]]+ТабПозиции[[#This Row],[deliveryPost]],SUM(N1027:P1027))</f>
        <v>680</v>
      </c>
      <c r="R1027" s="41">
        <v>680</v>
      </c>
      <c r="S1027" s="46">
        <f>ТабПозиции[[#This Row],[totalSumm]]-ТабПозиции[[#This Row],[payment]]</f>
        <v>0</v>
      </c>
      <c r="T1027" s="18" t="s">
        <v>960</v>
      </c>
      <c r="U1027" s="40" t="s">
        <v>545</v>
      </c>
      <c r="V1027" s="40" t="s">
        <v>545</v>
      </c>
      <c r="W1027" s="40" t="s">
        <v>545</v>
      </c>
      <c r="X1027" s="3"/>
      <c r="Y1027"/>
    </row>
    <row r="1028" spans="1:25" hidden="1" x14ac:dyDescent="0.25">
      <c r="A1028" s="10">
        <v>283</v>
      </c>
      <c r="B1028" s="1">
        <f>IFERROR(VLOOKUP(ТабПозиции[[#This Row],[orderNum]],ТабЗаказы[#Data],MATCH(B$7,ТабЗаказы[#Headers],0),0),"")</f>
        <v>45575</v>
      </c>
      <c r="C1028" t="str">
        <f>MONTH(ТабПозиции[[#This Row],[date]])&amp;"/"&amp;YEAR(ТабПозиции[[#This Row],[date]])</f>
        <v>10/2024</v>
      </c>
      <c r="D1028" s="1" t="str">
        <f>IFERROR(VLOOKUP(ТабПозиции[[#This Row],[orderNum]],ТабЗаказы[#Data],MATCH(D$7,ТабЗаказы[#Headers],0),0),"")</f>
        <v/>
      </c>
      <c r="E1028" s="1" t="str">
        <f>IFERROR(VLOOKUP(ТабПозиции[[#This Row],[orderNum]],ТабЗаказы[#Data],MATCH(E$7,ТабЗаказы[#Headers],0),0),"")</f>
        <v/>
      </c>
      <c r="F1028" s="10" t="s">
        <v>820</v>
      </c>
      <c r="G1028" s="40" t="s">
        <v>545</v>
      </c>
      <c r="H1028" s="12" t="s">
        <v>1534</v>
      </c>
      <c r="I1028" s="18">
        <v>45572</v>
      </c>
      <c r="J1028" s="10">
        <v>1</v>
      </c>
      <c r="K1028" s="10">
        <v>14000</v>
      </c>
      <c r="L1028">
        <v>14000</v>
      </c>
      <c r="M1028" s="10">
        <v>14000</v>
      </c>
      <c r="N1028">
        <f t="shared" si="18"/>
        <v>14000</v>
      </c>
      <c r="P10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Row],[orderNum]],ТабПозиции[orderSumm])&gt;1500),ABS(N1028*VLOOKUP(ТабПозиции[[#This Row],[orderNum]],ТабЗаказы[#Data],MATCH("Percent",ТабЗаказы[#Headers],0),0))/100,200/COUNTIF(ТабПозиции[orderNum],ТабПозиции[[#This Row],[orderNum]])),0),"")</f>
        <v>1400</v>
      </c>
      <c r="Q1028">
        <f>IF(OR(ТабПозиции[[#This Row],[item]]="По штрихкоду",ТабПозиции[[#This Row],[item]]="Посылка"),ТабПозиции[[#This Row],[deliverySumm]]+ТабПозиции[[#This Row],[deliveryPost]],SUM(N1028:P1028))</f>
        <v>1400</v>
      </c>
      <c r="R1028" s="41">
        <v>1400</v>
      </c>
      <c r="S1028" s="46">
        <f>ТабПозиции[[#This Row],[totalSumm]]-ТабПозиции[[#This Row],[payment]]</f>
        <v>0</v>
      </c>
      <c r="T1028" s="18" t="s">
        <v>1021</v>
      </c>
      <c r="U1028" s="40" t="s">
        <v>545</v>
      </c>
      <c r="V1028" s="40" t="s">
        <v>545</v>
      </c>
      <c r="W1028" s="40" t="s">
        <v>545</v>
      </c>
      <c r="X1028" s="3"/>
      <c r="Y1028"/>
    </row>
    <row r="1029" spans="1:25" hidden="1" x14ac:dyDescent="0.25">
      <c r="A1029" s="10">
        <v>283</v>
      </c>
      <c r="B1029" s="1">
        <f>IFERROR(VLOOKUP(ТабПозиции[[#This Row],[orderNum]],ТабЗаказы[#Data],MATCH(B$7,ТабЗаказы[#Headers],0),0),"")</f>
        <v>45575</v>
      </c>
      <c r="C1029" t="str">
        <f>MONTH(ТабПозиции[[#This Row],[date]])&amp;"/"&amp;YEAR(ТабПозиции[[#This Row],[date]])</f>
        <v>10/2024</v>
      </c>
      <c r="D1029" s="1" t="str">
        <f>IFERROR(VLOOKUP(ТабПозиции[[#This Row],[orderNum]],ТабЗаказы[#Data],MATCH(D$7,ТабЗаказы[#Headers],0),0),"")</f>
        <v/>
      </c>
      <c r="E1029" s="1" t="str">
        <f>IFERROR(VLOOKUP(ТабПозиции[[#This Row],[orderNum]],ТабЗаказы[#Data],MATCH(E$7,ТабЗаказы[#Headers],0),0),"")</f>
        <v/>
      </c>
      <c r="F1029" s="10" t="s">
        <v>820</v>
      </c>
      <c r="G1029" s="40" t="s">
        <v>545</v>
      </c>
      <c r="H1029" s="12" t="s">
        <v>1535</v>
      </c>
      <c r="I1029" s="18">
        <v>45574</v>
      </c>
      <c r="J1029" s="10">
        <v>1</v>
      </c>
      <c r="K1029" s="10">
        <v>3600</v>
      </c>
      <c r="L1029">
        <v>3600</v>
      </c>
      <c r="M1029" s="10">
        <v>3600</v>
      </c>
      <c r="N1029">
        <f t="shared" si="18"/>
        <v>3600</v>
      </c>
      <c r="P10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Row],[orderNum]],ТабПозиции[orderSumm])&gt;1500),ABS(N1029*VLOOKUP(ТабПозиции[[#This Row],[orderNum]],ТабЗаказы[#Data],MATCH("Percent",ТабЗаказы[#Headers],0),0))/100,200/COUNTIF(ТабПозиции[orderNum],ТабПозиции[[#This Row],[orderNum]])),0),"")</f>
        <v>360</v>
      </c>
      <c r="Q1029">
        <f>IF(OR(ТабПозиции[[#This Row],[item]]="По штрихкоду",ТабПозиции[[#This Row],[item]]="Посылка"),ТабПозиции[[#This Row],[deliverySumm]]+ТабПозиции[[#This Row],[deliveryPost]],SUM(N1029:P1029))</f>
        <v>360</v>
      </c>
      <c r="R1029" s="41">
        <v>360</v>
      </c>
      <c r="S1029" s="46">
        <f>ТабПозиции[[#This Row],[totalSumm]]-ТабПозиции[[#This Row],[payment]]</f>
        <v>0</v>
      </c>
      <c r="T1029" s="18" t="s">
        <v>1021</v>
      </c>
      <c r="U1029" s="40" t="s">
        <v>545</v>
      </c>
      <c r="V1029" s="40" t="s">
        <v>545</v>
      </c>
      <c r="W1029" s="40" t="s">
        <v>545</v>
      </c>
      <c r="X1029" s="3"/>
      <c r="Y1029"/>
    </row>
    <row r="1030" spans="1:25" hidden="1" x14ac:dyDescent="0.25">
      <c r="A1030" s="10">
        <v>283</v>
      </c>
      <c r="B1030" s="1">
        <f>IFERROR(VLOOKUP(ТабПозиции[[#This Row],[orderNum]],ТабЗаказы[#Data],MATCH(B$7,ТабЗаказы[#Headers],0),0),"")</f>
        <v>45575</v>
      </c>
      <c r="C1030" t="str">
        <f>MONTH(ТабПозиции[[#This Row],[date]])&amp;"/"&amp;YEAR(ТабПозиции[[#This Row],[date]])</f>
        <v>10/2024</v>
      </c>
      <c r="D1030" s="1" t="str">
        <f>IFERROR(VLOOKUP(ТабПозиции[[#This Row],[orderNum]],ТабЗаказы[#Data],MATCH(D$7,ТабЗаказы[#Headers],0),0),"")</f>
        <v/>
      </c>
      <c r="E1030" s="1" t="str">
        <f>IFERROR(VLOOKUP(ТабПозиции[[#This Row],[orderNum]],ТабЗаказы[#Data],MATCH(E$7,ТабЗаказы[#Headers],0),0),"")</f>
        <v/>
      </c>
      <c r="F1030" s="10" t="s">
        <v>820</v>
      </c>
      <c r="G1030" s="40" t="s">
        <v>545</v>
      </c>
      <c r="H1030" s="27" t="s">
        <v>1536</v>
      </c>
      <c r="I1030" s="18">
        <v>45589</v>
      </c>
      <c r="J1030" s="10">
        <v>1</v>
      </c>
      <c r="K1030" s="10">
        <v>6600</v>
      </c>
      <c r="L1030">
        <v>6600</v>
      </c>
      <c r="M1030" s="10">
        <v>6600</v>
      </c>
      <c r="N1030">
        <f t="shared" si="18"/>
        <v>6600</v>
      </c>
      <c r="P10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Row],[orderNum]],ТабПозиции[orderSumm])&gt;1500),ABS(N1030*VLOOKUP(ТабПозиции[[#This Row],[orderNum]],ТабЗаказы[#Data],MATCH("Percent",ТабЗаказы[#Headers],0),0))/100,200/COUNTIF(ТабПозиции[orderNum],ТабПозиции[[#This Row],[orderNum]])),0),"")</f>
        <v>660</v>
      </c>
      <c r="Q1030">
        <f>IF(OR(ТабПозиции[[#This Row],[item]]="По штрихкоду",ТабПозиции[[#This Row],[item]]="Посылка"),ТабПозиции[[#This Row],[deliverySumm]]+ТабПозиции[[#This Row],[deliveryPost]],SUM(N1030:P1030))</f>
        <v>660</v>
      </c>
      <c r="R1030" s="41">
        <v>660</v>
      </c>
      <c r="S1030" s="46">
        <f>ТабПозиции[[#This Row],[totalSumm]]-ТабПозиции[[#This Row],[payment]]</f>
        <v>0</v>
      </c>
      <c r="T1030" s="18" t="s">
        <v>1021</v>
      </c>
      <c r="U1030" s="40" t="s">
        <v>545</v>
      </c>
      <c r="V1030" s="40" t="s">
        <v>545</v>
      </c>
      <c r="W1030" s="40" t="s">
        <v>545</v>
      </c>
      <c r="X1030" s="3"/>
      <c r="Y1030"/>
    </row>
    <row r="1031" spans="1:25" hidden="1" x14ac:dyDescent="0.25">
      <c r="A1031" s="10">
        <v>283</v>
      </c>
      <c r="B1031" s="1">
        <f>IFERROR(VLOOKUP(ТабПозиции[[#This Row],[orderNum]],ТабЗаказы[#Data],MATCH(B$7,ТабЗаказы[#Headers],0),0),"")</f>
        <v>45575</v>
      </c>
      <c r="C1031" t="str">
        <f>MONTH(ТабПозиции[[#This Row],[date]])&amp;"/"&amp;YEAR(ТабПозиции[[#This Row],[date]])</f>
        <v>10/2024</v>
      </c>
      <c r="D1031" s="1" t="str">
        <f>IFERROR(VLOOKUP(ТабПозиции[[#This Row],[orderNum]],ТабЗаказы[#Data],MATCH(D$7,ТабЗаказы[#Headers],0),0),"")</f>
        <v/>
      </c>
      <c r="E1031" s="1" t="str">
        <f>IFERROR(VLOOKUP(ТабПозиции[[#This Row],[orderNum]],ТабЗаказы[#Data],MATCH(E$7,ТабЗаказы[#Headers],0),0),"")</f>
        <v/>
      </c>
      <c r="F1031" s="10" t="s">
        <v>820</v>
      </c>
      <c r="G1031" s="40" t="s">
        <v>545</v>
      </c>
      <c r="H1031" s="12" t="s">
        <v>1537</v>
      </c>
      <c r="I1031" s="18">
        <v>45574</v>
      </c>
      <c r="J1031" s="10">
        <v>1</v>
      </c>
      <c r="K1031" s="10">
        <v>7000</v>
      </c>
      <c r="L1031">
        <v>7000</v>
      </c>
      <c r="M1031" s="10">
        <v>7000</v>
      </c>
      <c r="N1031">
        <f t="shared" si="18"/>
        <v>7000</v>
      </c>
      <c r="P10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Row],[orderNum]],ТабПозиции[orderSumm])&gt;1500),ABS(N1031*VLOOKUP(ТабПозиции[[#This Row],[orderNum]],ТабЗаказы[#Data],MATCH("Percent",ТабЗаказы[#Headers],0),0))/100,200/COUNTIF(ТабПозиции[orderNum],ТабПозиции[[#This Row],[orderNum]])),0),"")</f>
        <v>700</v>
      </c>
      <c r="Q1031">
        <f>IF(OR(ТабПозиции[[#This Row],[item]]="По штрихкоду",ТабПозиции[[#This Row],[item]]="Посылка"),ТабПозиции[[#This Row],[deliverySumm]]+ТабПозиции[[#This Row],[deliveryPost]],SUM(N1031:P1031))</f>
        <v>700</v>
      </c>
      <c r="R1031" s="41">
        <v>700</v>
      </c>
      <c r="S1031" s="46">
        <f>ТабПозиции[[#This Row],[totalSumm]]-ТабПозиции[[#This Row],[payment]]</f>
        <v>0</v>
      </c>
      <c r="T1031" s="18" t="s">
        <v>1021</v>
      </c>
      <c r="U1031" s="40" t="s">
        <v>545</v>
      </c>
      <c r="V1031" s="40" t="s">
        <v>545</v>
      </c>
      <c r="W1031" s="40" t="s">
        <v>545</v>
      </c>
      <c r="X1031" s="3"/>
      <c r="Y1031"/>
    </row>
    <row r="1032" spans="1:25" hidden="1" x14ac:dyDescent="0.25">
      <c r="A1032" s="10">
        <v>283</v>
      </c>
      <c r="B1032" s="1">
        <f>IFERROR(VLOOKUP(ТабПозиции[[#This Row],[orderNum]],ТабЗаказы[#Data],MATCH(B$7,ТабЗаказы[#Headers],0),0),"")</f>
        <v>45575</v>
      </c>
      <c r="C1032" t="str">
        <f>MONTH(ТабПозиции[[#This Row],[date]])&amp;"/"&amp;YEAR(ТабПозиции[[#This Row],[date]])</f>
        <v>10/2024</v>
      </c>
      <c r="D1032" s="1" t="str">
        <f>IFERROR(VLOOKUP(ТабПозиции[[#This Row],[orderNum]],ТабЗаказы[#Data],MATCH(D$7,ТабЗаказы[#Headers],0),0),"")</f>
        <v/>
      </c>
      <c r="E1032" s="1" t="str">
        <f>IFERROR(VLOOKUP(ТабПозиции[[#This Row],[orderNum]],ТабЗаказы[#Data],MATCH(E$7,ТабЗаказы[#Headers],0),0),"")</f>
        <v/>
      </c>
      <c r="F1032" s="10" t="s">
        <v>1545</v>
      </c>
      <c r="G1032" s="40" t="s">
        <v>545</v>
      </c>
      <c r="H1032" s="12" t="s">
        <v>1538</v>
      </c>
      <c r="I1032" s="18">
        <v>45575</v>
      </c>
      <c r="J1032" s="10">
        <v>1</v>
      </c>
      <c r="K1032" s="10">
        <f>5000-370</f>
        <v>4630</v>
      </c>
      <c r="L1032">
        <v>4630</v>
      </c>
      <c r="M1032" s="10">
        <f>5000-370</f>
        <v>4630</v>
      </c>
      <c r="N1032">
        <f t="shared" si="18"/>
        <v>4630</v>
      </c>
      <c r="P10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Row],[orderNum]],ТабПозиции[orderSumm])&gt;1500),ABS(N1032*VLOOKUP(ТабПозиции[[#This Row],[orderNum]],ТабЗаказы[#Data],MATCH("Percent",ТабЗаказы[#Headers],0),0))/100,200/COUNTIF(ТабПозиции[orderNum],ТабПозиции[[#This Row],[orderNum]])),0),"")</f>
        <v>463</v>
      </c>
      <c r="Q1032">
        <f>IF(OR(ТабПозиции[[#This Row],[item]]="По штрихкоду",ТабПозиции[[#This Row],[item]]="Посылка"),ТабПозиции[[#This Row],[deliverySumm]]+ТабПозиции[[#This Row],[deliveryPost]],SUM(N1032:P1032))</f>
        <v>463</v>
      </c>
      <c r="R1032" s="41">
        <v>463</v>
      </c>
      <c r="S1032" s="46">
        <f>ТабПозиции[[#This Row],[totalSumm]]-ТабПозиции[[#This Row],[payment]]</f>
        <v>0</v>
      </c>
      <c r="T1032" s="18" t="s">
        <v>1021</v>
      </c>
      <c r="U1032" s="40" t="s">
        <v>545</v>
      </c>
      <c r="V1032" s="40" t="s">
        <v>545</v>
      </c>
      <c r="W1032" s="40" t="s">
        <v>545</v>
      </c>
      <c r="X1032" s="3"/>
      <c r="Y1032"/>
    </row>
    <row r="1033" spans="1:25" hidden="1" x14ac:dyDescent="0.25">
      <c r="A1033" s="10">
        <v>283</v>
      </c>
      <c r="B1033" s="1">
        <f>IFERROR(VLOOKUP(ТабПозиции[[#This Row],[orderNum]],ТабЗаказы[#Data],MATCH(B$7,ТабЗаказы[#Headers],0),0),"")</f>
        <v>45575</v>
      </c>
      <c r="C1033" t="str">
        <f>MONTH(ТабПозиции[[#This Row],[date]])&amp;"/"&amp;YEAR(ТабПозиции[[#This Row],[date]])</f>
        <v>10/2024</v>
      </c>
      <c r="D1033" s="1" t="str">
        <f>IFERROR(VLOOKUP(ТабПозиции[[#This Row],[orderNum]],ТабЗаказы[#Data],MATCH(D$7,ТабЗаказы[#Headers],0),0),"")</f>
        <v/>
      </c>
      <c r="E1033" s="1" t="str">
        <f>IFERROR(VLOOKUP(ТабПозиции[[#This Row],[orderNum]],ТабЗаказы[#Data],MATCH(E$7,ТабЗаказы[#Headers],0),0),"")</f>
        <v/>
      </c>
      <c r="F1033" s="10" t="s">
        <v>820</v>
      </c>
      <c r="G1033" s="40" t="s">
        <v>545</v>
      </c>
      <c r="H1033" s="27" t="s">
        <v>1539</v>
      </c>
      <c r="I1033" s="18">
        <v>45579</v>
      </c>
      <c r="J1033" s="10">
        <v>1</v>
      </c>
      <c r="K1033" s="10">
        <v>7900</v>
      </c>
      <c r="L1033">
        <v>7900</v>
      </c>
      <c r="M1033" s="10">
        <v>7900</v>
      </c>
      <c r="N1033">
        <f t="shared" si="18"/>
        <v>7900</v>
      </c>
      <c r="P10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Row],[orderNum]],ТабПозиции[orderSumm])&gt;1500),ABS(N1033*VLOOKUP(ТабПозиции[[#This Row],[orderNum]],ТабЗаказы[#Data],MATCH("Percent",ТабЗаказы[#Headers],0),0))/100,200/COUNTIF(ТабПозиции[orderNum],ТабПозиции[[#This Row],[orderNum]])),0),"")</f>
        <v>790</v>
      </c>
      <c r="Q1033">
        <f>IF(OR(ТабПозиции[[#This Row],[item]]="По штрихкоду",ТабПозиции[[#This Row],[item]]="Посылка"),ТабПозиции[[#This Row],[deliverySumm]]+ТабПозиции[[#This Row],[deliveryPost]],SUM(N1033:P1033))</f>
        <v>790</v>
      </c>
      <c r="R1033" s="41">
        <v>790</v>
      </c>
      <c r="S1033" s="46">
        <f>ТабПозиции[[#This Row],[totalSumm]]-ТабПозиции[[#This Row],[payment]]</f>
        <v>0</v>
      </c>
      <c r="T1033" s="18" t="s">
        <v>1021</v>
      </c>
      <c r="U1033" s="40" t="s">
        <v>545</v>
      </c>
      <c r="V1033" s="40" t="s">
        <v>545</v>
      </c>
      <c r="W1033" s="40" t="s">
        <v>545</v>
      </c>
      <c r="X1033" s="3"/>
      <c r="Y1033"/>
    </row>
    <row r="1034" spans="1:25" hidden="1" x14ac:dyDescent="0.25">
      <c r="A1034" s="10">
        <v>283</v>
      </c>
      <c r="B1034" s="1">
        <f>IFERROR(VLOOKUP(ТабПозиции[[#This Row],[orderNum]],ТабЗаказы[#Data],MATCH(B$7,ТабЗаказы[#Headers],0),0),"")</f>
        <v>45575</v>
      </c>
      <c r="C1034" t="str">
        <f>MONTH(ТабПозиции[[#This Row],[date]])&amp;"/"&amp;YEAR(ТабПозиции[[#This Row],[date]])</f>
        <v>10/2024</v>
      </c>
      <c r="D1034" s="1" t="str">
        <f>IFERROR(VLOOKUP(ТабПозиции[[#This Row],[orderNum]],ТабЗаказы[#Data],MATCH(D$7,ТабЗаказы[#Headers],0),0),"")</f>
        <v/>
      </c>
      <c r="E1034" s="1" t="str">
        <f>IFERROR(VLOOKUP(ТабПозиции[[#This Row],[orderNum]],ТабЗаказы[#Data],MATCH(E$7,ТабЗаказы[#Headers],0),0),"")</f>
        <v/>
      </c>
      <c r="F1034" s="10" t="s">
        <v>820</v>
      </c>
      <c r="G1034" s="40" t="s">
        <v>545</v>
      </c>
      <c r="H1034" s="27" t="s">
        <v>1540</v>
      </c>
      <c r="I1034" s="18">
        <v>45581</v>
      </c>
      <c r="J1034" s="10">
        <v>1</v>
      </c>
      <c r="K1034" s="10">
        <v>12500</v>
      </c>
      <c r="L1034">
        <v>12500</v>
      </c>
      <c r="M1034" s="10">
        <v>12500</v>
      </c>
      <c r="N1034">
        <f t="shared" si="18"/>
        <v>12500</v>
      </c>
      <c r="P10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Row],[orderNum]],ТабПозиции[orderSumm])&gt;1500),ABS(N1034*VLOOKUP(ТабПозиции[[#This Row],[orderNum]],ТабЗаказы[#Data],MATCH("Percent",ТабЗаказы[#Headers],0),0))/100,200/COUNTIF(ТабПозиции[orderNum],ТабПозиции[[#This Row],[orderNum]])),0),"")</f>
        <v>1250</v>
      </c>
      <c r="Q1034">
        <f>IF(OR(ТабПозиции[[#This Row],[item]]="По штрихкоду",ТабПозиции[[#This Row],[item]]="Посылка"),ТабПозиции[[#This Row],[deliverySumm]]+ТабПозиции[[#This Row],[deliveryPost]],SUM(N1034:P1034))</f>
        <v>1250</v>
      </c>
      <c r="R1034" s="41">
        <v>1250</v>
      </c>
      <c r="S1034" s="46">
        <f>ТабПозиции[[#This Row],[totalSumm]]-ТабПозиции[[#This Row],[payment]]</f>
        <v>0</v>
      </c>
      <c r="T1034" s="18" t="s">
        <v>1021</v>
      </c>
      <c r="U1034" s="40" t="s">
        <v>545</v>
      </c>
      <c r="V1034" s="40" t="s">
        <v>545</v>
      </c>
      <c r="W1034" s="40" t="s">
        <v>545</v>
      </c>
      <c r="X1034" s="3"/>
      <c r="Y1034"/>
    </row>
    <row r="1035" spans="1:25" hidden="1" x14ac:dyDescent="0.25">
      <c r="A1035" s="10">
        <v>283</v>
      </c>
      <c r="B1035" s="1">
        <f>IFERROR(VLOOKUP(ТабПозиции[[#This Row],[orderNum]],ТабЗаказы[#Data],MATCH(B$7,ТабЗаказы[#Headers],0),0),"")</f>
        <v>45575</v>
      </c>
      <c r="C1035" t="str">
        <f>MONTH(ТабПозиции[[#This Row],[date]])&amp;"/"&amp;YEAR(ТабПозиции[[#This Row],[date]])</f>
        <v>10/2024</v>
      </c>
      <c r="D1035" s="1" t="str">
        <f>IFERROR(VLOOKUP(ТабПозиции[[#This Row],[orderNum]],ТабЗаказы[#Data],MATCH(D$7,ТабЗаказы[#Headers],0),0),"")</f>
        <v/>
      </c>
      <c r="E1035" s="1" t="str">
        <f>IFERROR(VLOOKUP(ТабПозиции[[#This Row],[orderNum]],ТабЗаказы[#Data],MATCH(E$7,ТабЗаказы[#Headers],0),0),"")</f>
        <v/>
      </c>
      <c r="F1035" s="10" t="s">
        <v>820</v>
      </c>
      <c r="G1035" s="40" t="s">
        <v>545</v>
      </c>
      <c r="H1035" s="27" t="s">
        <v>1541</v>
      </c>
      <c r="I1035" s="18">
        <v>45580</v>
      </c>
      <c r="J1035" s="10">
        <v>1</v>
      </c>
      <c r="K1035" s="10">
        <v>4750</v>
      </c>
      <c r="L1035">
        <v>4750</v>
      </c>
      <c r="M1035" s="10">
        <v>4750</v>
      </c>
      <c r="N1035">
        <f t="shared" si="18"/>
        <v>4750</v>
      </c>
      <c r="P10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Row],[orderNum]],ТабПозиции[orderSumm])&gt;1500),ABS(N1035*VLOOKUP(ТабПозиции[[#This Row],[orderNum]],ТабЗаказы[#Data],MATCH("Percent",ТабЗаказы[#Headers],0),0))/100,200/COUNTIF(ТабПозиции[orderNum],ТабПозиции[[#This Row],[orderNum]])),0),"")</f>
        <v>475</v>
      </c>
      <c r="Q1035">
        <f>IF(OR(ТабПозиции[[#This Row],[item]]="По штрихкоду",ТабПозиции[[#This Row],[item]]="Посылка"),ТабПозиции[[#This Row],[deliverySumm]]+ТабПозиции[[#This Row],[deliveryPost]],SUM(N1035:P1035))</f>
        <v>475</v>
      </c>
      <c r="R1035" s="41">
        <v>475</v>
      </c>
      <c r="S1035" s="46">
        <f>ТабПозиции[[#This Row],[totalSumm]]-ТабПозиции[[#This Row],[payment]]</f>
        <v>0</v>
      </c>
      <c r="T1035" s="18" t="s">
        <v>1021</v>
      </c>
      <c r="U1035" s="40" t="s">
        <v>545</v>
      </c>
      <c r="V1035" s="40" t="s">
        <v>545</v>
      </c>
      <c r="W1035" s="40" t="s">
        <v>545</v>
      </c>
      <c r="X1035" s="3"/>
      <c r="Y1035"/>
    </row>
    <row r="1036" spans="1:25" hidden="1" x14ac:dyDescent="0.25">
      <c r="A1036" s="10">
        <v>284</v>
      </c>
      <c r="B1036" s="1">
        <f>IFERROR(VLOOKUP(ТабПозиции[[#This Row],[orderNum]],ТабЗаказы[#Data],MATCH(B$7,ТабЗаказы[#Headers],0),0),"")</f>
        <v>45575</v>
      </c>
      <c r="C1036" t="str">
        <f>MONTH(ТабПозиции[[#This Row],[date]])&amp;"/"&amp;YEAR(ТабПозиции[[#This Row],[date]])</f>
        <v>10/2024</v>
      </c>
      <c r="D1036" s="1" t="str">
        <f>IFERROR(VLOOKUP(ТабПозиции[[#This Row],[orderNum]],ТабЗаказы[#Data],MATCH(D$7,ТабЗаказы[#Headers],0),0),"")</f>
        <v/>
      </c>
      <c r="E1036" s="1" t="str">
        <f>IFERROR(VLOOKUP(ТабПозиции[[#This Row],[orderNum]],ТабЗаказы[#Data],MATCH(E$7,ТабЗаказы[#Headers],0),0),"")</f>
        <v/>
      </c>
      <c r="F1036" s="10" t="s">
        <v>820</v>
      </c>
      <c r="G1036" s="40" t="s">
        <v>545</v>
      </c>
      <c r="H1036" s="27" t="s">
        <v>1542</v>
      </c>
      <c r="I1036" s="18">
        <v>45583</v>
      </c>
      <c r="J1036" s="10">
        <v>1</v>
      </c>
      <c r="K1036" s="10">
        <v>2100</v>
      </c>
      <c r="L1036">
        <v>2100</v>
      </c>
      <c r="M1036" s="10">
        <v>2100</v>
      </c>
      <c r="N1036">
        <f t="shared" si="18"/>
        <v>2100</v>
      </c>
      <c r="P10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Row],[orderNum]],ТабПозиции[orderSumm])&gt;1500),ABS(N1036*VLOOKUP(ТабПозиции[[#This Row],[orderNum]],ТабЗаказы[#Data],MATCH("Percent",ТабЗаказы[#Headers],0),0))/100,200/COUNTIF(ТабПозиции[orderNum],ТабПозиции[[#This Row],[orderNum]])),0),"")</f>
        <v>315</v>
      </c>
      <c r="Q1036">
        <f>IF(OR(ТабПозиции[[#This Row],[item]]="По штрихкоду",ТабПозиции[[#This Row],[item]]="Посылка"),ТабПозиции[[#This Row],[deliverySumm]]+ТабПозиции[[#This Row],[deliveryPost]],SUM(N1036:P1036))</f>
        <v>315</v>
      </c>
      <c r="R1036" s="41">
        <v>1000</v>
      </c>
      <c r="S1036" s="46">
        <f>ТабПозиции[[#This Row],[totalSumm]]-ТабПозиции[[#This Row],[payment]]</f>
        <v>-685</v>
      </c>
      <c r="T1036" s="18" t="s">
        <v>1021</v>
      </c>
      <c r="U1036" s="40" t="s">
        <v>545</v>
      </c>
      <c r="V1036" s="40" t="s">
        <v>545</v>
      </c>
      <c r="W1036" s="40" t="s">
        <v>545</v>
      </c>
      <c r="X1036" s="3"/>
      <c r="Y1036"/>
    </row>
    <row r="1037" spans="1:25" hidden="1" x14ac:dyDescent="0.25">
      <c r="A1037" s="10">
        <v>285</v>
      </c>
      <c r="B1037" s="1">
        <f>IFERROR(VLOOKUP(ТабПозиции[[#This Row],[orderNum]],ТабЗаказы[#Data],MATCH(B$7,ТабЗаказы[#Headers],0),0),"")</f>
        <v>45576</v>
      </c>
      <c r="C1037" t="str">
        <f>MONTH(ТабПозиции[[#This Row],[date]])&amp;"/"&amp;YEAR(ТабПозиции[[#This Row],[date]])</f>
        <v>10/2024</v>
      </c>
      <c r="D1037" s="1" t="str">
        <f>IFERROR(VLOOKUP(ТабПозиции[[#This Row],[orderNum]],ТабЗаказы[#Data],MATCH(D$7,ТабЗаказы[#Headers],0),0),"")</f>
        <v/>
      </c>
      <c r="E1037" s="1" t="str">
        <f>IFERROR(VLOOKUP(ТабПозиции[[#This Row],[orderNum]],ТабЗаказы[#Data],MATCH(E$7,ТабЗаказы[#Headers],0),0),"")</f>
        <v/>
      </c>
      <c r="F1037" s="10" t="s">
        <v>32</v>
      </c>
      <c r="G1037" s="40" t="s">
        <v>545</v>
      </c>
      <c r="I1037" s="18">
        <v>45576</v>
      </c>
      <c r="J1037" s="10">
        <v>1</v>
      </c>
      <c r="K1037" s="10">
        <v>2807</v>
      </c>
      <c r="L1037">
        <v>2807</v>
      </c>
      <c r="M1037" s="10">
        <v>2807</v>
      </c>
      <c r="N1037">
        <f t="shared" si="18"/>
        <v>2807</v>
      </c>
      <c r="P10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Row],[orderNum]],ТабПозиции[orderSumm])&gt;1500),ABS(N1037*VLOOKUP(ТабПозиции[[#This Row],[orderNum]],ТабЗаказы[#Data],MATCH("Percent",ТабЗаказы[#Headers],0),0))/100,200/COUNTIF(ТабПозиции[orderNum],ТабПозиции[[#This Row],[orderNum]])),0),"")</f>
        <v>421</v>
      </c>
      <c r="Q1037">
        <f>IF(OR(ТабПозиции[[#This Row],[item]]="По штрихкоду",ТабПозиции[[#This Row],[item]]="Посылка"),ТабПозиции[[#This Row],[deliverySumm]]+ТабПозиции[[#This Row],[deliveryPost]],SUM(N1037:P1037))</f>
        <v>421</v>
      </c>
      <c r="R1037" s="41">
        <v>421</v>
      </c>
      <c r="S1037" s="46">
        <f>ТабПозиции[[#This Row],[totalSumm]]-ТабПозиции[[#This Row],[payment]]</f>
        <v>0</v>
      </c>
      <c r="T1037" s="18" t="s">
        <v>960</v>
      </c>
      <c r="U1037" s="40" t="s">
        <v>545</v>
      </c>
      <c r="V1037" s="40" t="s">
        <v>545</v>
      </c>
      <c r="W1037" s="40" t="s">
        <v>545</v>
      </c>
      <c r="X1037" s="3"/>
      <c r="Y1037"/>
    </row>
    <row r="1038" spans="1:25" hidden="1" x14ac:dyDescent="0.25">
      <c r="A1038" s="10">
        <v>286</v>
      </c>
      <c r="B1038" s="1">
        <f>IFERROR(VLOOKUP(ТабПозиции[[#This Row],[orderNum]],ТабЗаказы[#Data],MATCH(B$7,ТабЗаказы[#Headers],0),0),"")</f>
        <v>45576</v>
      </c>
      <c r="C1038" t="str">
        <f>MONTH(ТабПозиции[[#This Row],[date]])&amp;"/"&amp;YEAR(ТабПозиции[[#This Row],[date]])</f>
        <v>10/2024</v>
      </c>
      <c r="D1038" s="1" t="str">
        <f>IFERROR(VLOOKUP(ТабПозиции[[#This Row],[orderNum]],ТабЗаказы[#Data],MATCH(D$7,ТабЗаказы[#Headers],0),0),"")</f>
        <v/>
      </c>
      <c r="E1038" s="1" t="str">
        <f>IFERROR(VLOOKUP(ТабПозиции[[#This Row],[orderNum]],ТабЗаказы[#Data],MATCH(E$7,ТабЗаказы[#Headers],0),0),"")</f>
        <v/>
      </c>
      <c r="F1038" s="10" t="s">
        <v>32</v>
      </c>
      <c r="G1038" s="40" t="s">
        <v>545</v>
      </c>
      <c r="I1038" s="18">
        <v>45576</v>
      </c>
      <c r="J1038" s="10">
        <v>1</v>
      </c>
      <c r="K1038" s="10">
        <f>15301+23654</f>
        <v>38955</v>
      </c>
      <c r="L1038">
        <v>38955</v>
      </c>
      <c r="M1038" s="10">
        <v>38955</v>
      </c>
      <c r="N1038">
        <f t="shared" si="18"/>
        <v>38955</v>
      </c>
      <c r="P10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Row],[orderNum]],ТабПозиции[orderSumm])&gt;1500),ABS(N1038*VLOOKUP(ТабПозиции[[#This Row],[orderNum]],ТабЗаказы[#Data],MATCH("Percent",ТабЗаказы[#Headers],0),0))/100,200/COUNTIF(ТабПозиции[orderNum],ТабПозиции[[#This Row],[orderNum]])),0),"")</f>
        <v>3896</v>
      </c>
      <c r="Q1038">
        <f>IF(OR(ТабПозиции[[#This Row],[item]]="По штрихкоду",ТабПозиции[[#This Row],[item]]="Посылка"),ТабПозиции[[#This Row],[deliverySumm]]+ТабПозиции[[#This Row],[deliveryPost]],SUM(N1038:P1038))</f>
        <v>3896</v>
      </c>
      <c r="R1038" s="41">
        <v>3896</v>
      </c>
      <c r="S1038" s="46">
        <f>ТабПозиции[[#This Row],[totalSumm]]-ТабПозиции[[#This Row],[payment]]</f>
        <v>0</v>
      </c>
      <c r="T1038" s="18" t="s">
        <v>960</v>
      </c>
      <c r="U1038" s="40" t="s">
        <v>545</v>
      </c>
      <c r="V1038" s="40" t="s">
        <v>545</v>
      </c>
      <c r="W1038" s="40" t="s">
        <v>545</v>
      </c>
      <c r="X1038" s="3"/>
      <c r="Y1038"/>
    </row>
    <row r="1039" spans="1:25" hidden="1" x14ac:dyDescent="0.25">
      <c r="A1039" s="10">
        <v>287</v>
      </c>
      <c r="B1039" s="1">
        <f>IFERROR(VLOOKUP(ТабПозиции[[#This Row],[orderNum]],ТабЗаказы[#Data],MATCH(B$7,ТабЗаказы[#Headers],0),0),"")</f>
        <v>45576</v>
      </c>
      <c r="C1039" t="str">
        <f>MONTH(ТабПозиции[[#This Row],[date]])&amp;"/"&amp;YEAR(ТабПозиции[[#This Row],[date]])</f>
        <v>10/2024</v>
      </c>
      <c r="D1039" s="1" t="str">
        <f>IFERROR(VLOOKUP(ТабПозиции[[#This Row],[orderNum]],ТабЗаказы[#Data],MATCH(D$7,ТабЗаказы[#Headers],0),0),"")</f>
        <v/>
      </c>
      <c r="E1039" s="1" t="str">
        <f>IFERROR(VLOOKUP(ТабПозиции[[#This Row],[orderNum]],ТабЗаказы[#Data],MATCH(E$7,ТабЗаказы[#Headers],0),0),"")</f>
        <v/>
      </c>
      <c r="F1039" s="10" t="s">
        <v>32</v>
      </c>
      <c r="G1039" s="40" t="s">
        <v>545</v>
      </c>
      <c r="I1039" s="18">
        <v>45576</v>
      </c>
      <c r="J1039" s="10">
        <v>1</v>
      </c>
      <c r="K1039" s="10">
        <v>1230</v>
      </c>
      <c r="L1039">
        <v>1230</v>
      </c>
      <c r="M1039" s="10">
        <v>1230</v>
      </c>
      <c r="N1039">
        <f t="shared" si="18"/>
        <v>1230</v>
      </c>
      <c r="P10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Row],[orderNum]],ТабПозиции[orderSumm])&gt;1500),ABS(N1039*VLOOKUP(ТабПозиции[[#This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039">
        <f>IF(OR(ТабПозиции[[#This Row],[item]]="По штрихкоду",ТабПозиции[[#This Row],[item]]="Посылка"),ТабПозиции[[#This Row],[deliverySumm]]+ТабПозиции[[#This Row],[deliveryPost]],SUM(N1039:P1039))</f>
        <v>200</v>
      </c>
      <c r="R1039" s="41">
        <v>200</v>
      </c>
      <c r="S1039" s="46">
        <f>ТабПозиции[[#This Row],[totalSumm]]-ТабПозиции[[#This Row],[payment]]</f>
        <v>0</v>
      </c>
      <c r="T1039" s="18" t="s">
        <v>960</v>
      </c>
      <c r="U1039" s="40" t="s">
        <v>545</v>
      </c>
      <c r="V1039" s="40" t="s">
        <v>545</v>
      </c>
      <c r="W1039" s="40" t="s">
        <v>545</v>
      </c>
      <c r="X1039" s="3"/>
      <c r="Y1039"/>
    </row>
    <row r="1040" spans="1:25" hidden="1" x14ac:dyDescent="0.25">
      <c r="A1040" s="10">
        <v>288</v>
      </c>
      <c r="B1040" s="1">
        <f>IFERROR(VLOOKUP(ТабПозиции[[#This Row],[orderNum]],ТабЗаказы[#Data],MATCH(B$7,ТабЗаказы[#Headers],0),0),"")</f>
        <v>45576</v>
      </c>
      <c r="C1040" t="str">
        <f>MONTH(ТабПозиции[[#This Row],[date]])&amp;"/"&amp;YEAR(ТабПозиции[[#This Row],[date]])</f>
        <v>10/2024</v>
      </c>
      <c r="D1040" s="1" t="str">
        <f>IFERROR(VLOOKUP(ТабПозиции[[#This Row],[orderNum]],ТабЗаказы[#Data],MATCH(D$7,ТабЗаказы[#Headers],0),0),"")</f>
        <v/>
      </c>
      <c r="E1040" s="1" t="str">
        <f>IFERROR(VLOOKUP(ТабПозиции[[#This Row],[orderNum]],ТабЗаказы[#Data],MATCH(E$7,ТабЗаказы[#Headers],0),0),"")</f>
        <v/>
      </c>
      <c r="F1040" s="10" t="s">
        <v>32</v>
      </c>
      <c r="G1040" s="40" t="s">
        <v>545</v>
      </c>
      <c r="I1040" s="18">
        <v>45576</v>
      </c>
      <c r="J1040" s="10">
        <v>1</v>
      </c>
      <c r="K1040" s="10">
        <v>5138</v>
      </c>
      <c r="L1040">
        <v>5138</v>
      </c>
      <c r="M1040" s="10">
        <v>5138</v>
      </c>
      <c r="N1040">
        <f t="shared" si="18"/>
        <v>5138</v>
      </c>
      <c r="P10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Row],[orderNum]],ТабПозиции[orderSumm])&gt;1500),ABS(N1040*VLOOKUP(ТабПозиции[[#This Row],[orderNum]],ТабЗаказы[#Data],MATCH("Percent",ТабЗаказы[#Headers],0),0))/100,200/COUNTIF(ТабПозиции[orderNum],ТабПозиции[[#This Row],[orderNum]])),0),"")</f>
        <v>514</v>
      </c>
      <c r="Q1040">
        <f>IF(OR(ТабПозиции[[#This Row],[item]]="По штрихкоду",ТабПозиции[[#This Row],[item]]="Посылка"),ТабПозиции[[#This Row],[deliverySumm]]+ТабПозиции[[#This Row],[deliveryPost]],SUM(N1040:P1040))</f>
        <v>514</v>
      </c>
      <c r="R1040" s="41">
        <v>514</v>
      </c>
      <c r="S1040" s="46">
        <f>ТабПозиции[[#This Row],[totalSumm]]-ТабПозиции[[#This Row],[payment]]</f>
        <v>0</v>
      </c>
      <c r="T1040" s="18" t="s">
        <v>960</v>
      </c>
      <c r="U1040" s="40" t="s">
        <v>545</v>
      </c>
      <c r="V1040" s="40" t="s">
        <v>545</v>
      </c>
      <c r="W1040" s="40" t="s">
        <v>545</v>
      </c>
      <c r="X1040" s="3"/>
      <c r="Y1040"/>
    </row>
    <row r="1041" spans="1:25" hidden="1" x14ac:dyDescent="0.25">
      <c r="A1041" s="10">
        <v>289</v>
      </c>
      <c r="B1041" s="1">
        <f>IFERROR(VLOOKUP(ТабПозиции[[#This Row],[orderNum]],ТабЗаказы[#Data],MATCH(B$7,ТабЗаказы[#Headers],0),0),"")</f>
        <v>45576</v>
      </c>
      <c r="C1041" t="str">
        <f>MONTH(ТабПозиции[[#This Row],[date]])&amp;"/"&amp;YEAR(ТабПозиции[[#This Row],[date]])</f>
        <v>10/2024</v>
      </c>
      <c r="D1041" s="1" t="str">
        <f>IFERROR(VLOOKUP(ТабПозиции[[#This Row],[orderNum]],ТабЗаказы[#Data],MATCH(D$7,ТабЗаказы[#Headers],0),0),"")</f>
        <v/>
      </c>
      <c r="E1041" s="1" t="str">
        <f>IFERROR(VLOOKUP(ТабПозиции[[#This Row],[orderNum]],ТабЗаказы[#Data],MATCH(E$7,ТабЗаказы[#Headers],0),0),"")</f>
        <v/>
      </c>
      <c r="F1041" s="10" t="s">
        <v>32</v>
      </c>
      <c r="G1041" s="40" t="s">
        <v>545</v>
      </c>
      <c r="I1041" s="18">
        <v>45576</v>
      </c>
      <c r="J1041" s="10">
        <v>1</v>
      </c>
      <c r="K1041" s="10">
        <v>3810</v>
      </c>
      <c r="L1041">
        <v>3810</v>
      </c>
      <c r="M1041" s="10">
        <v>3810</v>
      </c>
      <c r="N1041">
        <f t="shared" si="18"/>
        <v>3810</v>
      </c>
      <c r="P10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Row],[orderNum]],ТабПозиции[orderSumm])&gt;1500),ABS(N1041*VLOOKUP(ТабПозиции[[#This Row],[orderNum]],ТабЗаказы[#Data],MATCH("Percent",ТабЗаказы[#Headers],0),0))/100,200/COUNTIF(ТабПозиции[orderNum],ТабПозиции[[#This Row],[orderNum]])),0),"")</f>
        <v>572</v>
      </c>
      <c r="Q1041">
        <f>IF(OR(ТабПозиции[[#This Row],[item]]="По штрихкоду",ТабПозиции[[#This Row],[item]]="Посылка"),ТабПозиции[[#This Row],[deliverySumm]]+ТабПозиции[[#This Row],[deliveryPost]],SUM(N1041:P1041))</f>
        <v>572</v>
      </c>
      <c r="R1041" s="41">
        <v>572</v>
      </c>
      <c r="S1041" s="46">
        <f>ТабПозиции[[#This Row],[totalSumm]]-ТабПозиции[[#This Row],[payment]]</f>
        <v>0</v>
      </c>
      <c r="T1041" s="18" t="s">
        <v>960</v>
      </c>
      <c r="U1041" s="40" t="s">
        <v>545</v>
      </c>
      <c r="V1041" s="40" t="s">
        <v>545</v>
      </c>
      <c r="W1041" s="40" t="s">
        <v>545</v>
      </c>
      <c r="X1041" s="3"/>
      <c r="Y1041"/>
    </row>
    <row r="1042" spans="1:25" hidden="1" x14ac:dyDescent="0.25">
      <c r="A1042" s="10">
        <v>290</v>
      </c>
      <c r="B1042" s="1">
        <f>IFERROR(VLOOKUP(ТабПозиции[[#This Row],[orderNum]],ТабЗаказы[#Data],MATCH(B$7,ТабЗаказы[#Headers],0),0),"")</f>
        <v>45575</v>
      </c>
      <c r="C1042" t="str">
        <f>MONTH(ТабПозиции[[#This Row],[date]])&amp;"/"&amp;YEAR(ТабПозиции[[#This Row],[date]])</f>
        <v>10/2024</v>
      </c>
      <c r="D1042" s="1" t="str">
        <f>IFERROR(VLOOKUP(ТабПозиции[[#This Row],[orderNum]],ТабЗаказы[#Data],MATCH(D$7,ТабЗаказы[#Headers],0),0),"")</f>
        <v/>
      </c>
      <c r="E1042" s="1" t="str">
        <f>IFERROR(VLOOKUP(ТабПозиции[[#This Row],[orderNum]],ТабЗаказы[#Data],MATCH(E$7,ТабЗаказы[#Headers],0),0),"")</f>
        <v/>
      </c>
      <c r="F1042" s="16" t="s">
        <v>1561</v>
      </c>
      <c r="G1042" s="40" t="s">
        <v>545</v>
      </c>
      <c r="I1042" s="18">
        <v>45580</v>
      </c>
      <c r="J1042" s="10">
        <v>1</v>
      </c>
      <c r="K1042" s="10">
        <v>3654</v>
      </c>
      <c r="L1042">
        <v>3654</v>
      </c>
      <c r="M1042" s="10">
        <v>3654</v>
      </c>
      <c r="N1042">
        <f t="shared" ref="N1042" si="19">M1042*J1042</f>
        <v>3654</v>
      </c>
      <c r="P10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Row],[orderNum]],ТабПозиции[orderSumm])&gt;1500),ABS(N1042*VLOOKUP(ТабПозиции[[#This Row],[orderNum]],ТабЗаказы[#Data],MATCH("Percent",ТабЗаказы[#Headers],0),0))/100,200/COUNTIF(ТабПозиции[orderNum],ТабПозиции[[#This Row],[orderNum]])),0),"")</f>
        <v>548</v>
      </c>
      <c r="Q1042">
        <f>IF(OR(ТабПозиции[[#This Row],[item]]="По штрихкоду",ТабПозиции[[#This Row],[item]]="Посылка"),ТабПозиции[[#This Row],[deliverySumm]]+ТабПозиции[[#This Row],[deliveryPost]],SUM(N1042:P1042))</f>
        <v>4202</v>
      </c>
      <c r="R1042" s="41">
        <v>4202</v>
      </c>
      <c r="S1042" s="46">
        <f>ТабПозиции[[#This Row],[totalSumm]]-ТабПозиции[[#This Row],[payment]]</f>
        <v>0</v>
      </c>
      <c r="T1042" s="18" t="s">
        <v>960</v>
      </c>
      <c r="U1042" s="40" t="s">
        <v>545</v>
      </c>
      <c r="V1042" s="40" t="s">
        <v>545</v>
      </c>
      <c r="W1042" s="40" t="s">
        <v>545</v>
      </c>
      <c r="X1042" s="3"/>
      <c r="Y1042"/>
    </row>
    <row r="1043" spans="1:25" hidden="1" x14ac:dyDescent="0.25">
      <c r="A1043" s="10">
        <v>290</v>
      </c>
      <c r="B1043" s="1">
        <f>IFERROR(VLOOKUP(ТабПозиции[[#This Row],[orderNum]],ТабЗаказы[#Data],MATCH(B$7,ТабЗаказы[#Headers],0),0),"")</f>
        <v>45575</v>
      </c>
      <c r="C1043" t="str">
        <f>MONTH(ТабПозиции[[#This Row],[date]])&amp;"/"&amp;YEAR(ТабПозиции[[#This Row],[date]])</f>
        <v>10/2024</v>
      </c>
      <c r="D1043" s="1" t="str">
        <f>IFERROR(VLOOKUP(ТабПозиции[[#This Row],[orderNum]],ТабЗаказы[#Data],MATCH(D$7,ТабЗаказы[#Headers],0),0),"")</f>
        <v/>
      </c>
      <c r="E1043" s="1" t="str">
        <f>IFERROR(VLOOKUP(ТабПозиции[[#This Row],[orderNum]],ТабЗаказы[#Data],MATCH(E$7,ТабЗаказы[#Headers],0),0),"")</f>
        <v/>
      </c>
      <c r="F1043" s="16" t="s">
        <v>1562</v>
      </c>
      <c r="G1043" s="40" t="s">
        <v>545</v>
      </c>
      <c r="I1043" s="18">
        <v>45582</v>
      </c>
      <c r="J1043" s="10">
        <v>1</v>
      </c>
      <c r="K1043" s="10">
        <v>912</v>
      </c>
      <c r="L1043">
        <v>912</v>
      </c>
      <c r="M1043" s="10">
        <v>980</v>
      </c>
      <c r="N1043">
        <f t="shared" si="18"/>
        <v>980</v>
      </c>
      <c r="P10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Row],[orderNum]],ТабПозиции[orderSumm])&gt;1500),ABS(N1043*VLOOKUP(ТабПозиции[[#This Row],[orderNum]],ТабЗаказы[#Data],MATCH("Percent",ТабЗаказы[#Headers],0),0))/100,200/COUNTIF(ТабПозиции[orderNum],ТабПозиции[[#This Row],[orderNum]])),0),"")</f>
        <v>147</v>
      </c>
      <c r="Q1043">
        <f>IF(OR(ТабПозиции[[#This Row],[item]]="По штрихкоду",ТабПозиции[[#This Row],[item]]="Посылка"),ТабПозиции[[#This Row],[deliverySumm]]+ТабПозиции[[#This Row],[deliveryPost]],SUM(N1043:P1043))</f>
        <v>1127</v>
      </c>
      <c r="R1043" s="41">
        <v>1100</v>
      </c>
      <c r="S1043" s="46">
        <f>ТабПозиции[[#This Row],[totalSumm]]-ТабПозиции[[#This Row],[payment]]</f>
        <v>27</v>
      </c>
      <c r="T1043" s="18" t="s">
        <v>960</v>
      </c>
      <c r="U1043" s="40" t="s">
        <v>545</v>
      </c>
      <c r="V1043" s="40" t="s">
        <v>545</v>
      </c>
      <c r="W1043" s="40" t="s">
        <v>545</v>
      </c>
      <c r="X1043" s="3"/>
      <c r="Y1043"/>
    </row>
    <row r="1044" spans="1:25" hidden="1" x14ac:dyDescent="0.25">
      <c r="A1044" s="10">
        <v>291</v>
      </c>
      <c r="B1044" s="1">
        <f>IFERROR(VLOOKUP(ТабПозиции[[#This Row],[orderNum]],ТабЗаказы[#Data],MATCH(B$7,ТабЗаказы[#Headers],0),0),"")</f>
        <v>45578</v>
      </c>
      <c r="C1044" t="str">
        <f>MONTH(ТабПозиции[[#This Row],[date]])&amp;"/"&amp;YEAR(ТабПозиции[[#This Row],[date]])</f>
        <v>10/2024</v>
      </c>
      <c r="D1044" s="1" t="str">
        <f>IFERROR(VLOOKUP(ТабПозиции[[#This Row],[orderNum]],ТабЗаказы[#Data],MATCH(D$7,ТабЗаказы[#Headers],0),0),"")</f>
        <v/>
      </c>
      <c r="E1044" s="1" t="str">
        <f>IFERROR(VLOOKUP(ТабПозиции[[#This Row],[orderNum]],ТабЗаказы[#Data],MATCH(E$7,ТабЗаказы[#Headers],0),0),"")</f>
        <v/>
      </c>
      <c r="F1044" s="16" t="s">
        <v>682</v>
      </c>
      <c r="G1044" s="40" t="s">
        <v>545</v>
      </c>
      <c r="I1044" s="18">
        <v>45581</v>
      </c>
      <c r="J1044" s="10">
        <v>1</v>
      </c>
      <c r="K1044" s="10">
        <v>251</v>
      </c>
      <c r="L1044">
        <v>251</v>
      </c>
      <c r="M1044" s="10">
        <v>265</v>
      </c>
      <c r="N1044">
        <f t="shared" si="18"/>
        <v>265</v>
      </c>
      <c r="P10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Row],[orderNum]],ТабПозиции[orderSumm])&gt;1500),ABS(N1044*VLOOKUP(ТабПозиции[[#This Row],[orderNum]],ТабЗаказы[#Data],MATCH("Percent",ТабЗаказы[#Headers],0),0))/100,200/COUNTIF(ТабПозиции[orderNum],ТабПозиции[[#This Row],[orderNum]])),0),"")</f>
        <v>40</v>
      </c>
      <c r="Q1044">
        <f>IF(OR(ТабПозиции[[#This Row],[item]]="По штрихкоду",ТабПозиции[[#This Row],[item]]="Посылка"),ТабПозиции[[#This Row],[deliverySumm]]+ТабПозиции[[#This Row],[deliveryPost]],SUM(N1044:P1044))</f>
        <v>305</v>
      </c>
      <c r="R1044" s="41">
        <v>305</v>
      </c>
      <c r="S1044" s="46">
        <f>ТабПозиции[[#This Row],[totalSumm]]-ТабПозиции[[#This Row],[payment]]</f>
        <v>0</v>
      </c>
      <c r="T1044" s="18" t="s">
        <v>970</v>
      </c>
      <c r="U1044" s="40" t="s">
        <v>545</v>
      </c>
      <c r="V1044" s="40" t="s">
        <v>545</v>
      </c>
      <c r="W1044" s="40" t="s">
        <v>545</v>
      </c>
      <c r="X1044" s="3"/>
      <c r="Y1044"/>
    </row>
    <row r="1045" spans="1:25" hidden="1" x14ac:dyDescent="0.25">
      <c r="A1045" s="10">
        <v>291</v>
      </c>
      <c r="B1045" s="1">
        <f>IFERROR(VLOOKUP(ТабПозиции[[#This Row],[orderNum]],ТабЗаказы[#Data],MATCH(B$7,ТабЗаказы[#Headers],0),0),"")</f>
        <v>45578</v>
      </c>
      <c r="C1045" t="str">
        <f>MONTH(ТабПозиции[[#This Row],[date]])&amp;"/"&amp;YEAR(ТабПозиции[[#This Row],[date]])</f>
        <v>10/2024</v>
      </c>
      <c r="D1045" s="1" t="str">
        <f>IFERROR(VLOOKUP(ТабПозиции[[#This Row],[orderNum]],ТабЗаказы[#Data],MATCH(D$7,ТабЗаказы[#Headers],0),0),"")</f>
        <v/>
      </c>
      <c r="E1045" s="1" t="str">
        <f>IFERROR(VLOOKUP(ТабПозиции[[#This Row],[orderNum]],ТабЗаказы[#Data],MATCH(E$7,ТабЗаказы[#Headers],0),0),"")</f>
        <v/>
      </c>
      <c r="F1045" s="16" t="s">
        <v>1554</v>
      </c>
      <c r="G1045" s="40" t="s">
        <v>545</v>
      </c>
      <c r="I1045" s="18">
        <v>45580</v>
      </c>
      <c r="J1045" s="10">
        <v>1</v>
      </c>
      <c r="K1045" s="10">
        <v>171</v>
      </c>
      <c r="L1045">
        <v>171</v>
      </c>
      <c r="M1045" s="10">
        <v>180</v>
      </c>
      <c r="N1045">
        <f t="shared" si="18"/>
        <v>180</v>
      </c>
      <c r="P10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Row],[orderNum]],ТабПозиции[orderSumm])&gt;1500),ABS(N1045*VLOOKUP(ТабПозиции[[#This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045">
        <f>IF(OR(ТабПозиции[[#This Row],[item]]="По штрихкоду",ТабПозиции[[#This Row],[item]]="Посылка"),ТабПозиции[[#This Row],[deliverySumm]]+ТабПозиции[[#This Row],[deliveryPost]],SUM(N1045:P1045))</f>
        <v>207</v>
      </c>
      <c r="R1045" s="41">
        <v>207</v>
      </c>
      <c r="S1045" s="46">
        <f>ТабПозиции[[#This Row],[totalSumm]]-ТабПозиции[[#This Row],[payment]]</f>
        <v>0</v>
      </c>
      <c r="T1045" s="18" t="s">
        <v>970</v>
      </c>
      <c r="U1045" s="40" t="s">
        <v>545</v>
      </c>
      <c r="V1045" s="40" t="s">
        <v>545</v>
      </c>
      <c r="W1045" s="40" t="s">
        <v>545</v>
      </c>
      <c r="X1045" s="3"/>
      <c r="Y1045"/>
    </row>
    <row r="1046" spans="1:25" hidden="1" x14ac:dyDescent="0.25">
      <c r="A1046" s="10">
        <v>291</v>
      </c>
      <c r="B1046" s="1">
        <f>IFERROR(VLOOKUP(ТабПозиции[[#This Row],[orderNum]],ТабЗаказы[#Data],MATCH(B$7,ТабЗаказы[#Headers],0),0),"")</f>
        <v>45578</v>
      </c>
      <c r="C1046" t="str">
        <f>MONTH(ТабПозиции[[#This Row],[date]])&amp;"/"&amp;YEAR(ТабПозиции[[#This Row],[date]])</f>
        <v>10/2024</v>
      </c>
      <c r="D1046" s="1" t="str">
        <f>IFERROR(VLOOKUP(ТабПозиции[[#This Row],[orderNum]],ТабЗаказы[#Data],MATCH(D$7,ТабЗаказы[#Headers],0),0),"")</f>
        <v/>
      </c>
      <c r="E1046" s="1" t="str">
        <f>IFERROR(VLOOKUP(ТабПозиции[[#This Row],[orderNum]],ТабЗаказы[#Data],MATCH(E$7,ТабЗаказы[#Headers],0),0),"")</f>
        <v/>
      </c>
      <c r="F1046" s="16" t="s">
        <v>1555</v>
      </c>
      <c r="G1046" s="40" t="s">
        <v>545</v>
      </c>
      <c r="I1046" s="18">
        <v>45580</v>
      </c>
      <c r="J1046" s="10">
        <v>1</v>
      </c>
      <c r="K1046" s="10">
        <v>128</v>
      </c>
      <c r="L1046">
        <v>128</v>
      </c>
      <c r="M1046" s="10">
        <v>135</v>
      </c>
      <c r="N1046">
        <f t="shared" si="18"/>
        <v>135</v>
      </c>
      <c r="P10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Row],[orderNum]],ТабПозиции[orderSumm])&gt;1500),ABS(N1046*VLOOKUP(ТабПозиции[[#This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046">
        <f>IF(OR(ТабПозиции[[#This Row],[item]]="По штрихкоду",ТабПозиции[[#This Row],[item]]="Посылка"),ТабПозиции[[#This Row],[deliverySumm]]+ТабПозиции[[#This Row],[deliveryPost]],SUM(N1046:P1046))</f>
        <v>155</v>
      </c>
      <c r="R1046" s="41">
        <v>155</v>
      </c>
      <c r="S1046" s="46">
        <f>ТабПозиции[[#This Row],[totalSumm]]-ТабПозиции[[#This Row],[payment]]</f>
        <v>0</v>
      </c>
      <c r="T1046" s="18" t="s">
        <v>970</v>
      </c>
      <c r="U1046" s="40" t="s">
        <v>545</v>
      </c>
      <c r="V1046" s="40" t="s">
        <v>545</v>
      </c>
      <c r="W1046" s="40" t="s">
        <v>545</v>
      </c>
      <c r="X1046" s="3"/>
      <c r="Y1046"/>
    </row>
    <row r="1047" spans="1:25" hidden="1" x14ac:dyDescent="0.25">
      <c r="A1047" s="10">
        <v>291</v>
      </c>
      <c r="B1047" s="1">
        <f>IFERROR(VLOOKUP(ТабПозиции[[#This Row],[orderNum]],ТабЗаказы[#Data],MATCH(B$7,ТабЗаказы[#Headers],0),0),"")</f>
        <v>45578</v>
      </c>
      <c r="C1047" t="str">
        <f>MONTH(ТабПозиции[[#This Row],[date]])&amp;"/"&amp;YEAR(ТабПозиции[[#This Row],[date]])</f>
        <v>10/2024</v>
      </c>
      <c r="D1047" s="1" t="str">
        <f>IFERROR(VLOOKUP(ТабПозиции[[#This Row],[orderNum]],ТабЗаказы[#Data],MATCH(D$7,ТабЗаказы[#Headers],0),0),"")</f>
        <v/>
      </c>
      <c r="E1047" s="1" t="str">
        <f>IFERROR(VLOOKUP(ТабПозиции[[#This Row],[orderNum]],ТабЗаказы[#Data],MATCH(E$7,ТабЗаказы[#Headers],0),0),"")</f>
        <v/>
      </c>
      <c r="F1047" s="16" t="s">
        <v>1556</v>
      </c>
      <c r="G1047" s="40" t="s">
        <v>545</v>
      </c>
      <c r="I1047" s="18">
        <v>45580</v>
      </c>
      <c r="J1047" s="10">
        <v>1</v>
      </c>
      <c r="K1047" s="10">
        <v>105</v>
      </c>
      <c r="L1047">
        <v>105</v>
      </c>
      <c r="M1047" s="10">
        <v>111</v>
      </c>
      <c r="N1047">
        <f t="shared" si="18"/>
        <v>111</v>
      </c>
      <c r="P10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Row],[orderNum]],ТабПозиции[orderSumm])&gt;1500),ABS(N1047*VLOOKUP(ТабПозиции[[#This Row],[orderNum]],ТабЗаказы[#Data],MATCH("Percent",ТабЗаказы[#Headers],0),0))/100,200/COUNTIF(ТабПозиции[orderNum],ТабПозиции[[#This Row],[orderNum]])),0),"")</f>
        <v>17</v>
      </c>
      <c r="Q1047">
        <f>IF(OR(ТабПозиции[[#This Row],[item]]="По штрихкоду",ТабПозиции[[#This Row],[item]]="Посылка"),ТабПозиции[[#This Row],[deliverySumm]]+ТабПозиции[[#This Row],[deliveryPost]],SUM(N1047:P1047))</f>
        <v>128</v>
      </c>
      <c r="R1047" s="41">
        <v>128</v>
      </c>
      <c r="S1047" s="46">
        <f>ТабПозиции[[#This Row],[totalSumm]]-ТабПозиции[[#This Row],[payment]]</f>
        <v>0</v>
      </c>
      <c r="T1047" s="18" t="s">
        <v>970</v>
      </c>
      <c r="U1047" s="40" t="s">
        <v>545</v>
      </c>
      <c r="V1047" s="40" t="s">
        <v>545</v>
      </c>
      <c r="W1047" s="40" t="s">
        <v>545</v>
      </c>
      <c r="X1047" s="3"/>
      <c r="Y1047"/>
    </row>
    <row r="1048" spans="1:25" hidden="1" x14ac:dyDescent="0.25">
      <c r="A1048" s="10">
        <v>291</v>
      </c>
      <c r="B1048" s="1">
        <f>IFERROR(VLOOKUP(ТабПозиции[[#This Row],[orderNum]],ТабЗаказы[#Data],MATCH(B$7,ТабЗаказы[#Headers],0),0),"")</f>
        <v>45578</v>
      </c>
      <c r="C1048" t="str">
        <f>MONTH(ТабПозиции[[#This Row],[date]])&amp;"/"&amp;YEAR(ТабПозиции[[#This Row],[date]])</f>
        <v>10/2024</v>
      </c>
      <c r="D1048" s="1" t="str">
        <f>IFERROR(VLOOKUP(ТабПозиции[[#This Row],[orderNum]],ТабЗаказы[#Data],MATCH(D$7,ТабЗаказы[#Headers],0),0),"")</f>
        <v/>
      </c>
      <c r="E1048" s="1" t="str">
        <f>IFERROR(VLOOKUP(ТабПозиции[[#This Row],[orderNum]],ТабЗаказы[#Data],MATCH(E$7,ТабЗаказы[#Headers],0),0),"")</f>
        <v/>
      </c>
      <c r="F1048" s="16" t="s">
        <v>1557</v>
      </c>
      <c r="G1048" s="40" t="s">
        <v>545</v>
      </c>
      <c r="I1048" s="18">
        <v>45581</v>
      </c>
      <c r="J1048" s="10">
        <v>1</v>
      </c>
      <c r="K1048" s="10">
        <v>538</v>
      </c>
      <c r="L1048">
        <v>538</v>
      </c>
      <c r="M1048" s="10">
        <v>567</v>
      </c>
      <c r="N1048">
        <f t="shared" si="18"/>
        <v>567</v>
      </c>
      <c r="P10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Row],[orderNum]],ТабПозиции[orderSumm])&gt;1500),ABS(N1048*VLOOKUP(ТабПозиции[[#This Row],[orderNum]],ТабЗаказы[#Data],MATCH("Percent",ТабЗаказы[#Headers],0),0))/100,200/COUNTIF(ТабПозиции[orderNum],ТабПозиции[[#This Row],[orderNum]])),0),"")</f>
        <v>85</v>
      </c>
      <c r="Q1048">
        <f>IF(OR(ТабПозиции[[#This Row],[item]]="По штрихкоду",ТабПозиции[[#This Row],[item]]="Посылка"),ТабПозиции[[#This Row],[deliverySumm]]+ТабПозиции[[#This Row],[deliveryPost]],SUM(N1048:P1048))</f>
        <v>652</v>
      </c>
      <c r="R1048" s="41">
        <v>652</v>
      </c>
      <c r="S1048" s="46">
        <f>ТабПозиции[[#This Row],[totalSumm]]-ТабПозиции[[#This Row],[payment]]</f>
        <v>0</v>
      </c>
      <c r="T1048" s="18" t="s">
        <v>970</v>
      </c>
      <c r="U1048" s="40" t="s">
        <v>545</v>
      </c>
      <c r="V1048" s="40" t="s">
        <v>545</v>
      </c>
      <c r="W1048" s="40" t="s">
        <v>545</v>
      </c>
      <c r="X1048" s="3"/>
      <c r="Y1048"/>
    </row>
    <row r="1049" spans="1:25" hidden="1" x14ac:dyDescent="0.25">
      <c r="A1049" s="10">
        <v>291</v>
      </c>
      <c r="B1049" s="1">
        <f>IFERROR(VLOOKUP(ТабПозиции[[#This Row],[orderNum]],ТабЗаказы[#Data],MATCH(B$7,ТабЗаказы[#Headers],0),0),"")</f>
        <v>45578</v>
      </c>
      <c r="C1049" t="str">
        <f>MONTH(ТабПозиции[[#This Row],[date]])&amp;"/"&amp;YEAR(ТабПозиции[[#This Row],[date]])</f>
        <v>10/2024</v>
      </c>
      <c r="D1049" s="1" t="str">
        <f>IFERROR(VLOOKUP(ТабПозиции[[#This Row],[orderNum]],ТабЗаказы[#Data],MATCH(D$7,ТабЗаказы[#Headers],0),0),"")</f>
        <v/>
      </c>
      <c r="E1049" s="1" t="str">
        <f>IFERROR(VLOOKUP(ТабПозиции[[#This Row],[orderNum]],ТабЗаказы[#Data],MATCH(E$7,ТабЗаказы[#Headers],0),0),"")</f>
        <v/>
      </c>
      <c r="F1049" s="16" t="s">
        <v>1558</v>
      </c>
      <c r="G1049" s="40" t="s">
        <v>545</v>
      </c>
      <c r="I1049" s="18">
        <v>45581</v>
      </c>
      <c r="J1049" s="10">
        <v>1</v>
      </c>
      <c r="K1049" s="10">
        <v>152</v>
      </c>
      <c r="L1049">
        <v>152</v>
      </c>
      <c r="M1049" s="10">
        <v>161</v>
      </c>
      <c r="N1049">
        <f t="shared" ref="N1049:N1110" si="20">M1049*J1049</f>
        <v>161</v>
      </c>
      <c r="P10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Row],[orderNum]],ТабПозиции[orderSumm])&gt;1500),ABS(N1049*VLOOKUP(ТабПозиции[[#This Row],[orderNum]],ТабЗаказы[#Data],MATCH("Percent",ТабЗаказы[#Headers],0),0))/100,200/COUNTIF(ТабПозиции[orderNum],ТабПозиции[[#This Row],[orderNum]])),0),"")</f>
        <v>24</v>
      </c>
      <c r="Q1049">
        <f>IF(OR(ТабПозиции[[#This Row],[item]]="По штрихкоду",ТабПозиции[[#This Row],[item]]="Посылка"),ТабПозиции[[#This Row],[deliverySumm]]+ТабПозиции[[#This Row],[deliveryPost]],SUM(N1049:P1049))</f>
        <v>185</v>
      </c>
      <c r="R1049" s="41">
        <v>185</v>
      </c>
      <c r="S1049" s="46">
        <f>ТабПозиции[[#This Row],[totalSumm]]-ТабПозиции[[#This Row],[payment]]</f>
        <v>0</v>
      </c>
      <c r="T1049" s="18" t="s">
        <v>970</v>
      </c>
      <c r="U1049" s="40" t="s">
        <v>545</v>
      </c>
      <c r="V1049" s="40" t="s">
        <v>545</v>
      </c>
      <c r="W1049" s="40" t="s">
        <v>545</v>
      </c>
      <c r="X1049" s="3"/>
      <c r="Y1049"/>
    </row>
    <row r="1050" spans="1:25" hidden="1" x14ac:dyDescent="0.25">
      <c r="A1050" s="10">
        <v>291</v>
      </c>
      <c r="B1050" s="1">
        <f>IFERROR(VLOOKUP(ТабПозиции[[#This Row],[orderNum]],ТабЗаказы[#Data],MATCH(B$7,ТабЗаказы[#Headers],0),0),"")</f>
        <v>45578</v>
      </c>
      <c r="C1050" t="str">
        <f>MONTH(ТабПозиции[[#This Row],[date]])&amp;"/"&amp;YEAR(ТабПозиции[[#This Row],[date]])</f>
        <v>10/2024</v>
      </c>
      <c r="D1050" s="1" t="str">
        <f>IFERROR(VLOOKUP(ТабПозиции[[#This Row],[orderNum]],ТабЗаказы[#Data],MATCH(D$7,ТабЗаказы[#Headers],0),0),"")</f>
        <v/>
      </c>
      <c r="E1050" s="1" t="str">
        <f>IFERROR(VLOOKUP(ТабПозиции[[#This Row],[orderNum]],ТабЗаказы[#Data],MATCH(E$7,ТабЗаказы[#Headers],0),0),"")</f>
        <v/>
      </c>
      <c r="F1050" s="16" t="s">
        <v>1559</v>
      </c>
      <c r="G1050" s="40" t="s">
        <v>545</v>
      </c>
      <c r="I1050" s="18">
        <v>45579</v>
      </c>
      <c r="J1050" s="10">
        <v>1</v>
      </c>
      <c r="K1050" s="10">
        <v>277</v>
      </c>
      <c r="L1050">
        <v>277</v>
      </c>
      <c r="M1050" s="10">
        <v>292</v>
      </c>
      <c r="N1050">
        <f t="shared" si="20"/>
        <v>292</v>
      </c>
      <c r="P10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Row],[orderNum]],ТабПозиции[orderSumm])&gt;1500),ABS(N1050*VLOOKUP(ТабПозиции[[#This Row],[orderNum]],ТабЗаказы[#Data],MATCH("Percent",ТабЗаказы[#Headers],0),0))/100,200/COUNTIF(ТабПозиции[orderNum],ТабПозиции[[#This Row],[orderNum]])),0),"")</f>
        <v>44</v>
      </c>
      <c r="Q1050">
        <f>IF(OR(ТабПозиции[[#This Row],[item]]="По штрихкоду",ТабПозиции[[#This Row],[item]]="Посылка"),ТабПозиции[[#This Row],[deliverySumm]]+ТабПозиции[[#This Row],[deliveryPost]],SUM(N1050:P1050))</f>
        <v>336</v>
      </c>
      <c r="R1050" s="41">
        <v>336</v>
      </c>
      <c r="S1050" s="46">
        <f>ТабПозиции[[#This Row],[totalSumm]]-ТабПозиции[[#This Row],[payment]]</f>
        <v>0</v>
      </c>
      <c r="T1050" s="18" t="s">
        <v>970</v>
      </c>
      <c r="U1050" s="40" t="s">
        <v>545</v>
      </c>
      <c r="V1050" s="40" t="s">
        <v>545</v>
      </c>
      <c r="W1050" s="40" t="s">
        <v>545</v>
      </c>
      <c r="X1050" s="3"/>
      <c r="Y1050"/>
    </row>
    <row r="1051" spans="1:25" hidden="1" x14ac:dyDescent="0.25">
      <c r="A1051" s="10">
        <v>291</v>
      </c>
      <c r="B1051" s="1">
        <f>IFERROR(VLOOKUP(ТабПозиции[[#This Row],[orderNum]],ТабЗаказы[#Data],MATCH(B$7,ТабЗаказы[#Headers],0),0),"")</f>
        <v>45578</v>
      </c>
      <c r="C1051" t="str">
        <f>MONTH(ТабПозиции[[#This Row],[date]])&amp;"/"&amp;YEAR(ТабПозиции[[#This Row],[date]])</f>
        <v>10/2024</v>
      </c>
      <c r="D1051" s="1" t="str">
        <f>IFERROR(VLOOKUP(ТабПозиции[[#This Row],[orderNum]],ТабЗаказы[#Data],MATCH(D$7,ТабЗаказы[#Headers],0),0),"")</f>
        <v/>
      </c>
      <c r="E1051" s="1" t="str">
        <f>IFERROR(VLOOKUP(ТабПозиции[[#This Row],[orderNum]],ТабЗаказы[#Data],MATCH(E$7,ТабЗаказы[#Headers],0),0),"")</f>
        <v/>
      </c>
      <c r="F1051" s="16" t="s">
        <v>1560</v>
      </c>
      <c r="G1051" s="40" t="s">
        <v>545</v>
      </c>
      <c r="I1051" s="18">
        <v>45583</v>
      </c>
      <c r="J1051" s="10">
        <v>1</v>
      </c>
      <c r="K1051" s="10">
        <v>170</v>
      </c>
      <c r="L1051">
        <v>170</v>
      </c>
      <c r="M1051" s="10">
        <v>179</v>
      </c>
      <c r="N1051">
        <f t="shared" si="20"/>
        <v>179</v>
      </c>
      <c r="P10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Row],[orderNum]],ТабПозиции[orderSumm])&gt;1500),ABS(N1051*VLOOKUP(ТабПозиции[[#This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051">
        <f>IF(OR(ТабПозиции[[#This Row],[item]]="По штрихкоду",ТабПозиции[[#This Row],[item]]="Посылка"),ТабПозиции[[#This Row],[deliverySumm]]+ТабПозиции[[#This Row],[deliveryPost]],SUM(N1051:P1051))</f>
        <v>206</v>
      </c>
      <c r="R1051" s="41">
        <v>206</v>
      </c>
      <c r="S1051" s="46">
        <f>ТабПозиции[[#This Row],[totalSumm]]-ТабПозиции[[#This Row],[payment]]</f>
        <v>0</v>
      </c>
      <c r="T1051" s="18" t="s">
        <v>970</v>
      </c>
      <c r="U1051" s="40" t="s">
        <v>545</v>
      </c>
      <c r="V1051" s="40" t="s">
        <v>545</v>
      </c>
      <c r="W1051" s="40" t="s">
        <v>545</v>
      </c>
      <c r="X1051" s="3"/>
      <c r="Y1051"/>
    </row>
    <row r="1052" spans="1:25" hidden="1" x14ac:dyDescent="0.25">
      <c r="A1052" s="10">
        <v>291</v>
      </c>
      <c r="B1052" s="1">
        <f>IFERROR(VLOOKUP(ТабПозиции[[#This Row],[orderNum]],ТабЗаказы[#Data],MATCH(B$7,ТабЗаказы[#Headers],0),0),"")</f>
        <v>45578</v>
      </c>
      <c r="C1052" t="str">
        <f>MONTH(ТабПозиции[[#This Row],[date]])&amp;"/"&amp;YEAR(ТабПозиции[[#This Row],[date]])</f>
        <v>10/2024</v>
      </c>
      <c r="D1052" s="1" t="str">
        <f>IFERROR(VLOOKUP(ТабПозиции[[#This Row],[orderNum]],ТабЗаказы[#Data],MATCH(D$7,ТабЗаказы[#Headers],0),0),"")</f>
        <v/>
      </c>
      <c r="E1052" s="1" t="str">
        <f>IFERROR(VLOOKUP(ТабПозиции[[#This Row],[orderNum]],ТабЗаказы[#Data],MATCH(E$7,ТабЗаказы[#Headers],0),0),"")</f>
        <v/>
      </c>
      <c r="F1052" s="16" t="s">
        <v>1554</v>
      </c>
      <c r="G1052" s="40" t="s">
        <v>545</v>
      </c>
      <c r="I1052" s="18">
        <v>45582</v>
      </c>
      <c r="J1052" s="10">
        <v>1</v>
      </c>
      <c r="K1052" s="10">
        <v>179</v>
      </c>
      <c r="L1052">
        <v>179</v>
      </c>
      <c r="M1052" s="10">
        <v>189</v>
      </c>
      <c r="N1052">
        <f t="shared" si="20"/>
        <v>189</v>
      </c>
      <c r="P10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Row],[orderNum]],ТабПозиции[orderSumm])&gt;1500),ABS(N1052*VLOOKUP(ТабПозиции[[#This Row],[orderNum]],ТабЗаказы[#Data],MATCH("Percent",ТабЗаказы[#Headers],0),0))/100,200/COUNTIF(ТабПозиции[orderNum],ТабПозиции[[#This Row],[orderNum]])),0),"")</f>
        <v>28</v>
      </c>
      <c r="Q1052">
        <f>IF(OR(ТабПозиции[[#This Row],[item]]="По штрихкоду",ТабПозиции[[#This Row],[item]]="Посылка"),ТабПозиции[[#This Row],[deliverySumm]]+ТабПозиции[[#This Row],[deliveryPost]],SUM(N1052:P1052))</f>
        <v>217</v>
      </c>
      <c r="R1052" s="41">
        <v>217</v>
      </c>
      <c r="S1052" s="46">
        <f>ТабПозиции[[#This Row],[totalSumm]]-ТабПозиции[[#This Row],[payment]]</f>
        <v>0</v>
      </c>
      <c r="T1052" s="18" t="s">
        <v>970</v>
      </c>
      <c r="U1052" s="40" t="s">
        <v>545</v>
      </c>
      <c r="V1052" s="40" t="s">
        <v>545</v>
      </c>
      <c r="W1052" s="40" t="s">
        <v>545</v>
      </c>
      <c r="X1052" s="3"/>
      <c r="Y1052"/>
    </row>
    <row r="1053" spans="1:25" hidden="1" x14ac:dyDescent="0.25">
      <c r="A1053" s="10">
        <v>292</v>
      </c>
      <c r="B1053" s="1">
        <f>IFERROR(VLOOKUP(ТабПозиции[[#This Row],[orderNum]],ТабЗаказы[#Data],MATCH(B$7,ТабЗаказы[#Headers],0),0),"")</f>
        <v>45579</v>
      </c>
      <c r="C1053" t="str">
        <f>MONTH(ТабПозиции[[#This Row],[date]])&amp;"/"&amp;YEAR(ТабПозиции[[#This Row],[date]])</f>
        <v>10/2024</v>
      </c>
      <c r="D1053" s="1" t="str">
        <f>IFERROR(VLOOKUP(ТабПозиции[[#This Row],[orderNum]],ТабЗаказы[#Data],MATCH(D$7,ТабЗаказы[#Headers],0),0),"")</f>
        <v/>
      </c>
      <c r="E1053" s="1" t="str">
        <f>IFERROR(VLOOKUP(ТабПозиции[[#This Row],[orderNum]],ТабЗаказы[#Data],MATCH(E$7,ТабЗаказы[#Headers],0),0),"")</f>
        <v/>
      </c>
      <c r="F1053" s="16" t="s">
        <v>1565</v>
      </c>
      <c r="G1053" s="40" t="s">
        <v>545</v>
      </c>
      <c r="I1053" s="18">
        <v>45581</v>
      </c>
      <c r="J1053" s="10">
        <v>1</v>
      </c>
      <c r="K1053" s="10">
        <v>1385</v>
      </c>
      <c r="L1053">
        <v>1385</v>
      </c>
      <c r="M1053" s="10">
        <v>1458</v>
      </c>
      <c r="N1053">
        <f t="shared" si="20"/>
        <v>1458</v>
      </c>
      <c r="P10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Row],[orderNum]],ТабПозиции[orderSumm])&gt;1500),ABS(N1053*VLOOKUP(ТабПозиции[[#This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053">
        <f>IF(OR(ТабПозиции[[#This Row],[item]]="По штрихкоду",ТабПозиции[[#This Row],[item]]="Посылка"),ТабПозиции[[#This Row],[deliverySumm]]+ТабПозиции[[#This Row],[deliveryPost]],SUM(N1053:P1053))</f>
        <v>1658</v>
      </c>
      <c r="R1053" s="41">
        <v>1700</v>
      </c>
      <c r="S1053" s="46">
        <f>ТабПозиции[[#This Row],[totalSumm]]-ТабПозиции[[#This Row],[payment]]</f>
        <v>-42</v>
      </c>
      <c r="T1053" s="18" t="s">
        <v>970</v>
      </c>
      <c r="U1053" s="40" t="s">
        <v>545</v>
      </c>
      <c r="V1053" s="40" t="s">
        <v>545</v>
      </c>
      <c r="W1053" s="40" t="s">
        <v>545</v>
      </c>
      <c r="X1053" s="3"/>
      <c r="Y1053"/>
    </row>
    <row r="1054" spans="1:25" hidden="1" x14ac:dyDescent="0.25">
      <c r="A1054" s="10">
        <v>293</v>
      </c>
      <c r="B1054" s="1">
        <f>IFERROR(VLOOKUP(ТабПозиции[[#This Row],[orderNum]],ТабЗаказы[#Data],MATCH(B$7,ТабЗаказы[#Headers],0),0),"")</f>
        <v>45579</v>
      </c>
      <c r="C1054" t="str">
        <f>MONTH(ТабПозиции[[#This Row],[date]])&amp;"/"&amp;YEAR(ТабПозиции[[#This Row],[date]])</f>
        <v>10/2024</v>
      </c>
      <c r="D1054" s="1" t="str">
        <f>IFERROR(VLOOKUP(ТабПозиции[[#This Row],[orderNum]],ТабЗаказы[#Data],MATCH(D$7,ТабЗаказы[#Headers],0),0),"")</f>
        <v/>
      </c>
      <c r="E1054" s="1" t="str">
        <f>IFERROR(VLOOKUP(ТабПозиции[[#This Row],[orderNum]],ТабЗаказы[#Data],MATCH(E$7,ТабЗаказы[#Headers],0),0),"")</f>
        <v/>
      </c>
      <c r="F1054" s="16" t="s">
        <v>1424</v>
      </c>
      <c r="G1054" s="40" t="s">
        <v>545</v>
      </c>
      <c r="I1054" s="18">
        <v>45582</v>
      </c>
      <c r="J1054" s="10">
        <v>1</v>
      </c>
      <c r="K1054" s="10">
        <v>235</v>
      </c>
      <c r="L1054">
        <v>235</v>
      </c>
      <c r="M1054" s="10">
        <v>248</v>
      </c>
      <c r="N1054">
        <f t="shared" si="20"/>
        <v>248</v>
      </c>
      <c r="P10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Row],[orderNum]],ТабПозиции[orderSumm])&gt;1500),ABS(N1054*VLOOKUP(ТабПозиции[[#This Row],[orderNum]],ТабЗаказы[#Data],MATCH("Percent",ТабЗаказы[#Headers],0),0))/100,200/COUNTIF(ТабПозиции[orderNum],ТабПозиции[[#This Row],[orderNum]])),0),"")</f>
        <v>37</v>
      </c>
      <c r="Q1054">
        <f>IF(OR(ТабПозиции[[#This Row],[item]]="По штрихкоду",ТабПозиции[[#This Row],[item]]="Посылка"),ТабПозиции[[#This Row],[deliverySumm]]+ТабПозиции[[#This Row],[deliveryPost]],SUM(N1054:P1054))</f>
        <v>285</v>
      </c>
      <c r="R1054" s="41">
        <v>285</v>
      </c>
      <c r="S1054" s="46">
        <f>ТабПозиции[[#This Row],[totalSumm]]-ТабПозиции[[#This Row],[payment]]</f>
        <v>0</v>
      </c>
      <c r="T1054" s="18" t="s">
        <v>970</v>
      </c>
      <c r="U1054" s="40" t="s">
        <v>545</v>
      </c>
      <c r="V1054" s="40" t="s">
        <v>545</v>
      </c>
      <c r="W1054" s="40" t="s">
        <v>545</v>
      </c>
      <c r="X1054" s="3"/>
      <c r="Y1054"/>
    </row>
    <row r="1055" spans="1:25" hidden="1" x14ac:dyDescent="0.25">
      <c r="A1055" s="10">
        <v>293</v>
      </c>
      <c r="B1055" s="1">
        <f>IFERROR(VLOOKUP(ТабПозиции[[#This Row],[orderNum]],ТабЗаказы[#Data],MATCH(B$7,ТабЗаказы[#Headers],0),0),"")</f>
        <v>45579</v>
      </c>
      <c r="C1055" t="str">
        <f>MONTH(ТабПозиции[[#This Row],[date]])&amp;"/"&amp;YEAR(ТабПозиции[[#This Row],[date]])</f>
        <v>10/2024</v>
      </c>
      <c r="D1055" s="1" t="str">
        <f>IFERROR(VLOOKUP(ТабПозиции[[#This Row],[orderNum]],ТабЗаказы[#Data],MATCH(D$7,ТабЗаказы[#Headers],0),0),"")</f>
        <v/>
      </c>
      <c r="E1055" s="1" t="str">
        <f>IFERROR(VLOOKUP(ТабПозиции[[#This Row],[orderNum]],ТабЗаказы[#Data],MATCH(E$7,ТабЗаказы[#Headers],0),0),"")</f>
        <v/>
      </c>
      <c r="F1055" s="16" t="s">
        <v>1423</v>
      </c>
      <c r="G1055" s="40" t="s">
        <v>545</v>
      </c>
      <c r="I1055" s="18">
        <v>45582</v>
      </c>
      <c r="J1055" s="10">
        <v>1</v>
      </c>
      <c r="K1055" s="10">
        <v>511</v>
      </c>
      <c r="L1055">
        <v>511</v>
      </c>
      <c r="M1055" s="10">
        <v>538</v>
      </c>
      <c r="N1055">
        <f t="shared" si="20"/>
        <v>538</v>
      </c>
      <c r="P10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Row],[orderNum]],ТабПозиции[orderSumm])&gt;1500),ABS(N1055*VLOOKUP(ТабПозиции[[#This Row],[orderNum]],ТабЗаказы[#Data],MATCH("Percent",ТабЗаказы[#Headers],0),0))/100,200/COUNTIF(ТабПозиции[orderNum],ТабПозиции[[#This Row],[orderNum]])),0),"")</f>
        <v>81</v>
      </c>
      <c r="Q1055">
        <f>IF(OR(ТабПозиции[[#This Row],[item]]="По штрихкоду",ТабПозиции[[#This Row],[item]]="Посылка"),ТабПозиции[[#This Row],[deliverySumm]]+ТабПозиции[[#This Row],[deliveryPost]],SUM(N1055:P1055))</f>
        <v>619</v>
      </c>
      <c r="R1055" s="41">
        <v>619</v>
      </c>
      <c r="S1055" s="46">
        <f>ТабПозиции[[#This Row],[totalSumm]]-ТабПозиции[[#This Row],[payment]]</f>
        <v>0</v>
      </c>
      <c r="T1055" s="18" t="s">
        <v>970</v>
      </c>
      <c r="U1055" s="40" t="s">
        <v>545</v>
      </c>
      <c r="V1055" s="40" t="s">
        <v>545</v>
      </c>
      <c r="W1055" s="40" t="s">
        <v>545</v>
      </c>
      <c r="X1055" s="3"/>
      <c r="Y1055"/>
    </row>
    <row r="1056" spans="1:25" hidden="1" x14ac:dyDescent="0.25">
      <c r="A1056" s="10">
        <v>293</v>
      </c>
      <c r="B1056" s="1">
        <f>IFERROR(VLOOKUP(ТабПозиции[[#This Row],[orderNum]],ТабЗаказы[#Data],MATCH(B$7,ТабЗаказы[#Headers],0),0),"")</f>
        <v>45579</v>
      </c>
      <c r="C1056" t="str">
        <f>MONTH(ТабПозиции[[#This Row],[date]])&amp;"/"&amp;YEAR(ТабПозиции[[#This Row],[date]])</f>
        <v>10/2024</v>
      </c>
      <c r="D1056" s="1" t="str">
        <f>IFERROR(VLOOKUP(ТабПозиции[[#This Row],[orderNum]],ТабЗаказы[#Data],MATCH(D$7,ТабЗаказы[#Headers],0),0),"")</f>
        <v/>
      </c>
      <c r="E1056" s="1" t="str">
        <f>IFERROR(VLOOKUP(ТабПозиции[[#This Row],[orderNum]],ТабЗаказы[#Data],MATCH(E$7,ТабЗаказы[#Headers],0),0),"")</f>
        <v/>
      </c>
      <c r="F1056" s="16" t="s">
        <v>1566</v>
      </c>
      <c r="G1056" s="40" t="s">
        <v>552</v>
      </c>
      <c r="I1056" s="18">
        <v>45582</v>
      </c>
      <c r="J1056" s="10">
        <v>1</v>
      </c>
      <c r="K1056" s="10">
        <v>267</v>
      </c>
      <c r="L1056">
        <v>267</v>
      </c>
      <c r="M1056" s="10">
        <v>282</v>
      </c>
      <c r="N1056">
        <f t="shared" si="20"/>
        <v>282</v>
      </c>
      <c r="P10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Row],[orderNum]],ТабПозиции[orderSumm])&gt;1500),ABS(N1056*VLOOKUP(ТабПозиции[[#This Row],[orderNum]],ТабЗаказы[#Data],MATCH("Percent",ТабЗаказы[#Headers],0),0))/100,200/COUNTIF(ТабПозиции[orderNum],ТабПозиции[[#This Row],[orderNum]])),0),"")</f>
        <v>42</v>
      </c>
      <c r="Q1056">
        <f>IF(OR(ТабПозиции[[#This Row],[item]]="По штрихкоду",ТабПозиции[[#This Row],[item]]="Посылка"),ТабПозиции[[#This Row],[deliverySumm]]+ТабПозиции[[#This Row],[deliveryPost]],SUM(N1056:P1056))</f>
        <v>324</v>
      </c>
      <c r="R1056" s="41">
        <v>324</v>
      </c>
      <c r="S1056" s="46">
        <f>ТабПозиции[[#This Row],[totalSumm]]-ТабПозиции[[#This Row],[payment]]</f>
        <v>0</v>
      </c>
      <c r="T1056" s="18" t="s">
        <v>970</v>
      </c>
      <c r="U1056" s="40" t="s">
        <v>545</v>
      </c>
      <c r="V1056" s="40" t="s">
        <v>545</v>
      </c>
      <c r="W1056" s="40" t="s">
        <v>545</v>
      </c>
      <c r="X1056" s="3"/>
      <c r="Y1056"/>
    </row>
    <row r="1057" spans="1:25" hidden="1" x14ac:dyDescent="0.25">
      <c r="A1057" s="10">
        <v>293</v>
      </c>
      <c r="B1057" s="1">
        <f>IFERROR(VLOOKUP(ТабПозиции[[#This Row],[orderNum]],ТабЗаказы[#Data],MATCH(B$7,ТабЗаказы[#Headers],0),0),"")</f>
        <v>45579</v>
      </c>
      <c r="C1057" t="str">
        <f>MONTH(ТабПозиции[[#This Row],[date]])&amp;"/"&amp;YEAR(ТабПозиции[[#This Row],[date]])</f>
        <v>10/2024</v>
      </c>
      <c r="D1057" s="1" t="str">
        <f>IFERROR(VLOOKUP(ТабПозиции[[#This Row],[orderNum]],ТабЗаказы[#Data],MATCH(D$7,ТабЗаказы[#Headers],0),0),"")</f>
        <v/>
      </c>
      <c r="E1057" s="1" t="str">
        <f>IFERROR(VLOOKUP(ТабПозиции[[#This Row],[orderNum]],ТабЗаказы[#Data],MATCH(E$7,ТабЗаказы[#Headers],0),0),"")</f>
        <v/>
      </c>
      <c r="F1057" s="16" t="s">
        <v>1567</v>
      </c>
      <c r="G1057" s="40" t="s">
        <v>545</v>
      </c>
      <c r="I1057" s="18">
        <v>45581</v>
      </c>
      <c r="J1057" s="10">
        <v>1</v>
      </c>
      <c r="K1057" s="10">
        <v>652</v>
      </c>
      <c r="L1057">
        <v>652</v>
      </c>
      <c r="M1057" s="10">
        <v>687</v>
      </c>
      <c r="N1057">
        <f t="shared" si="20"/>
        <v>687</v>
      </c>
      <c r="P10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Row],[orderNum]],ТабПозиции[orderSumm])&gt;1500),ABS(N1057*VLOOKUP(ТабПозиции[[#This Row],[orderNum]],ТабЗаказы[#Data],MATCH("Percent",ТабЗаказы[#Headers],0),0))/100,200/COUNTIF(ТабПозиции[orderNum],ТабПозиции[[#This Row],[orderNum]])),0),"")</f>
        <v>103</v>
      </c>
      <c r="Q1057">
        <f>IF(OR(ТабПозиции[[#This Row],[item]]="По штрихкоду",ТабПозиции[[#This Row],[item]]="Посылка"),ТабПозиции[[#This Row],[deliverySumm]]+ТабПозиции[[#This Row],[deliveryPost]],SUM(N1057:P1057))</f>
        <v>790</v>
      </c>
      <c r="R1057" s="41">
        <v>790</v>
      </c>
      <c r="S1057" s="46">
        <f>ТабПозиции[[#This Row],[totalSumm]]-ТабПозиции[[#This Row],[payment]]</f>
        <v>0</v>
      </c>
      <c r="T1057" s="18" t="s">
        <v>970</v>
      </c>
      <c r="U1057" s="40" t="s">
        <v>545</v>
      </c>
      <c r="V1057" s="40" t="s">
        <v>545</v>
      </c>
      <c r="W1057" s="40" t="s">
        <v>545</v>
      </c>
      <c r="X1057" s="3"/>
      <c r="Y1057"/>
    </row>
    <row r="1058" spans="1:25" hidden="1" x14ac:dyDescent="0.25">
      <c r="A1058" s="10">
        <v>293</v>
      </c>
      <c r="B1058" s="1">
        <f>IFERROR(VLOOKUP(ТабПозиции[[#This Row],[orderNum]],ТабЗаказы[#Data],MATCH(B$7,ТабЗаказы[#Headers],0),0),"")</f>
        <v>45579</v>
      </c>
      <c r="C1058" t="str">
        <f>MONTH(ТабПозиции[[#This Row],[date]])&amp;"/"&amp;YEAR(ТабПозиции[[#This Row],[date]])</f>
        <v>10/2024</v>
      </c>
      <c r="D1058" s="1" t="str">
        <f>IFERROR(VLOOKUP(ТабПозиции[[#This Row],[orderNum]],ТабЗаказы[#Data],MATCH(D$7,ТабЗаказы[#Headers],0),0),"")</f>
        <v/>
      </c>
      <c r="E1058" s="1" t="str">
        <f>IFERROR(VLOOKUP(ТабПозиции[[#This Row],[orderNum]],ТабЗаказы[#Data],MATCH(E$7,ТабЗаказы[#Headers],0),0),"")</f>
        <v/>
      </c>
      <c r="F1058" s="16" t="s">
        <v>1568</v>
      </c>
      <c r="G1058" s="40" t="s">
        <v>545</v>
      </c>
      <c r="I1058" s="18">
        <v>45585</v>
      </c>
      <c r="J1058" s="10">
        <v>2</v>
      </c>
      <c r="K1058" s="10">
        <v>171</v>
      </c>
      <c r="L1058">
        <v>342</v>
      </c>
      <c r="M1058" s="10">
        <v>180</v>
      </c>
      <c r="N1058">
        <f t="shared" si="20"/>
        <v>360</v>
      </c>
      <c r="P10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Row],[orderNum]],ТабПозиции[orderSumm])&gt;1500),ABS(N1058*VLOOKUP(ТабПозиции[[#This Row],[orderNum]],ТабЗаказы[#Data],MATCH("Percent",ТабЗаказы[#Headers],0),0))/100,200/COUNTIF(ТабПозиции[orderNum],ТабПозиции[[#This Row],[orderNum]])),0),"")</f>
        <v>54</v>
      </c>
      <c r="Q1058">
        <f>IF(OR(ТабПозиции[[#This Row],[item]]="По штрихкоду",ТабПозиции[[#This Row],[item]]="Посылка"),ТабПозиции[[#This Row],[deliverySumm]]+ТабПозиции[[#This Row],[deliveryPost]],SUM(N1058:P1058))</f>
        <v>414</v>
      </c>
      <c r="R1058" s="41">
        <v>414</v>
      </c>
      <c r="S1058" s="46">
        <f>ТабПозиции[[#This Row],[totalSumm]]-ТабПозиции[[#This Row],[payment]]</f>
        <v>0</v>
      </c>
      <c r="T1058" s="18" t="s">
        <v>970</v>
      </c>
      <c r="U1058" s="40" t="s">
        <v>545</v>
      </c>
      <c r="V1058" s="40" t="s">
        <v>545</v>
      </c>
      <c r="W1058" s="40" t="s">
        <v>545</v>
      </c>
      <c r="X1058" s="3"/>
      <c r="Y1058"/>
    </row>
    <row r="1059" spans="1:25" hidden="1" x14ac:dyDescent="0.25">
      <c r="A1059" s="10">
        <v>293</v>
      </c>
      <c r="B1059" s="1">
        <f>IFERROR(VLOOKUP(ТабПозиции[[#This Row],[orderNum]],ТабЗаказы[#Data],MATCH(B$7,ТабЗаказы[#Headers],0),0),"")</f>
        <v>45579</v>
      </c>
      <c r="C1059" t="str">
        <f>MONTH(ТабПозиции[[#This Row],[date]])&amp;"/"&amp;YEAR(ТабПозиции[[#This Row],[date]])</f>
        <v>10/2024</v>
      </c>
      <c r="D1059" s="1" t="str">
        <f>IFERROR(VLOOKUP(ТабПозиции[[#This Row],[orderNum]],ТабЗаказы[#Data],MATCH(D$7,ТабЗаказы[#Headers],0),0),"")</f>
        <v/>
      </c>
      <c r="E1059" s="1" t="str">
        <f>IFERROR(VLOOKUP(ТабПозиции[[#This Row],[orderNum]],ТабЗаказы[#Data],MATCH(E$7,ТабЗаказы[#Headers],0),0),"")</f>
        <v/>
      </c>
      <c r="F1059" s="16" t="s">
        <v>1569</v>
      </c>
      <c r="G1059" s="40" t="s">
        <v>545</v>
      </c>
      <c r="I1059" s="18">
        <v>45583</v>
      </c>
      <c r="J1059" s="10">
        <v>2</v>
      </c>
      <c r="K1059" s="10">
        <v>320</v>
      </c>
      <c r="L1059">
        <v>640</v>
      </c>
      <c r="M1059" s="10">
        <v>337</v>
      </c>
      <c r="N1059">
        <f t="shared" si="20"/>
        <v>674</v>
      </c>
      <c r="P10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Row],[orderNum]],ТабПозиции[orderSumm])&gt;1500),ABS(N1059*VLOOKUP(ТабПозиции[[#This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1059">
        <f>IF(OR(ТабПозиции[[#This Row],[item]]="По штрихкоду",ТабПозиции[[#This Row],[item]]="Посылка"),ТабПозиции[[#This Row],[deliverySumm]]+ТабПозиции[[#This Row],[deliveryPost]],SUM(N1059:P1059))</f>
        <v>775</v>
      </c>
      <c r="R1059" s="41">
        <v>775</v>
      </c>
      <c r="S1059" s="46">
        <f>ТабПозиции[[#This Row],[totalSumm]]-ТабПозиции[[#This Row],[payment]]</f>
        <v>0</v>
      </c>
      <c r="T1059" s="18" t="s">
        <v>970</v>
      </c>
      <c r="U1059" s="40" t="s">
        <v>545</v>
      </c>
      <c r="V1059" s="40" t="s">
        <v>545</v>
      </c>
      <c r="W1059" s="40" t="s">
        <v>545</v>
      </c>
      <c r="X1059" s="3"/>
      <c r="Y1059"/>
    </row>
    <row r="1060" spans="1:25" hidden="1" x14ac:dyDescent="0.25">
      <c r="A1060" s="10">
        <v>294</v>
      </c>
      <c r="B1060" s="1">
        <f>IFERROR(VLOOKUP(ТабПозиции[[#This Row],[orderNum]],ТабЗаказы[#Data],MATCH(B$7,ТабЗаказы[#Headers],0),0),"")</f>
        <v>45580</v>
      </c>
      <c r="C1060" t="str">
        <f>MONTH(ТабПозиции[[#This Row],[date]])&amp;"/"&amp;YEAR(ТабПозиции[[#This Row],[date]])</f>
        <v>10/2024</v>
      </c>
      <c r="D1060" s="1" t="str">
        <f>IFERROR(VLOOKUP(ТабПозиции[[#This Row],[orderNum]],ТабЗаказы[#Data],MATCH(D$7,ТабЗаказы[#Headers],0),0),"")</f>
        <v/>
      </c>
      <c r="E1060" s="1" t="str">
        <f>IFERROR(VLOOKUP(ТабПозиции[[#This Row],[orderNum]],ТабЗаказы[#Data],MATCH(E$7,ТабЗаказы[#Headers],0),0),"")</f>
        <v/>
      </c>
      <c r="F1060" s="16" t="s">
        <v>1448</v>
      </c>
      <c r="G1060" s="40" t="s">
        <v>545</v>
      </c>
      <c r="I1060" s="18">
        <v>45590</v>
      </c>
      <c r="J1060" s="10">
        <v>1</v>
      </c>
      <c r="K1060" s="10">
        <v>370</v>
      </c>
      <c r="L1060">
        <v>370</v>
      </c>
      <c r="M1060" s="10">
        <v>398</v>
      </c>
      <c r="N1060">
        <f t="shared" si="20"/>
        <v>398</v>
      </c>
      <c r="P10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Row],[orderNum]],ТабПозиции[orderSumm])&gt;1500),ABS(N1060*VLOOKUP(ТабПозиции[[#This Row],[orderNum]],ТабЗаказы[#Data],MATCH("Percent",ТабЗаказы[#Headers],0),0))/100,200/COUNTIF(ТабПозиции[orderNum],ТабПозиции[[#This Row],[orderNum]])),0),"")</f>
        <v>60</v>
      </c>
      <c r="Q1060">
        <f>IF(OR(ТабПозиции[[#This Row],[item]]="По штрихкоду",ТабПозиции[[#This Row],[item]]="Посылка"),ТабПозиции[[#This Row],[deliverySumm]]+ТабПозиции[[#This Row],[deliveryPost]],SUM(N1060:P1060))</f>
        <v>458</v>
      </c>
      <c r="R1060" s="41">
        <v>458</v>
      </c>
      <c r="S1060" s="46">
        <f>ТабПозиции[[#This Row],[totalSumm]]-ТабПозиции[[#This Row],[payment]]</f>
        <v>0</v>
      </c>
      <c r="T1060" s="18" t="s">
        <v>960</v>
      </c>
      <c r="U1060" s="40" t="s">
        <v>545</v>
      </c>
      <c r="V1060" s="40" t="s">
        <v>545</v>
      </c>
      <c r="W1060" s="40" t="s">
        <v>545</v>
      </c>
      <c r="X1060" s="3"/>
      <c r="Y1060"/>
    </row>
    <row r="1061" spans="1:25" hidden="1" x14ac:dyDescent="0.25">
      <c r="A1061" s="10">
        <v>294</v>
      </c>
      <c r="B1061" s="1">
        <f>IFERROR(VLOOKUP(ТабПозиции[[#This Row],[orderNum]],ТабЗаказы[#Data],MATCH(B$7,ТабЗаказы[#Headers],0),0),"")</f>
        <v>45580</v>
      </c>
      <c r="C1061" t="str">
        <f>MONTH(ТабПозиции[[#This Row],[date]])&amp;"/"&amp;YEAR(ТабПозиции[[#This Row],[date]])</f>
        <v>10/2024</v>
      </c>
      <c r="D1061" s="1" t="str">
        <f>IFERROR(VLOOKUP(ТабПозиции[[#This Row],[orderNum]],ТабЗаказы[#Data],MATCH(D$7,ТабЗаказы[#Headers],0),0),"")</f>
        <v/>
      </c>
      <c r="E1061" s="1" t="str">
        <f>IFERROR(VLOOKUP(ТабПозиции[[#This Row],[orderNum]],ТабЗаказы[#Data],MATCH(E$7,ТабЗаказы[#Headers],0),0),"")</f>
        <v/>
      </c>
      <c r="F1061" s="16" t="s">
        <v>1570</v>
      </c>
      <c r="G1061" s="40" t="s">
        <v>545</v>
      </c>
      <c r="I1061" s="18">
        <v>45583</v>
      </c>
      <c r="J1061" s="10">
        <v>7</v>
      </c>
      <c r="K1061" s="10">
        <v>269</v>
      </c>
      <c r="L1061">
        <v>1883</v>
      </c>
      <c r="M1061" s="10">
        <v>275</v>
      </c>
      <c r="N1061">
        <f t="shared" si="20"/>
        <v>1925</v>
      </c>
      <c r="P10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Row],[orderNum]],ТабПозиции[orderSumm])&gt;1500),ABS(N1061*VLOOKUP(ТабПозиции[[#This Row],[orderNum]],ТабЗаказы[#Data],MATCH("Percent",ТабЗаказы[#Headers],0),0))/100,200/COUNTIF(ТабПозиции[orderNum],ТабПозиции[[#This Row],[orderNum]])),0),"")</f>
        <v>289</v>
      </c>
      <c r="Q1061">
        <f>IF(OR(ТабПозиции[[#This Row],[item]]="По штрихкоду",ТабПозиции[[#This Row],[item]]="Посылка"),ТабПозиции[[#This Row],[deliverySumm]]+ТабПозиции[[#This Row],[deliveryPost]],SUM(N1061:P1061))</f>
        <v>2214</v>
      </c>
      <c r="R1061" s="41">
        <v>2214</v>
      </c>
      <c r="S1061" s="46">
        <f>ТабПозиции[[#This Row],[totalSumm]]-ТабПозиции[[#This Row],[payment]]</f>
        <v>0</v>
      </c>
      <c r="T1061" s="18" t="s">
        <v>960</v>
      </c>
      <c r="U1061" s="40" t="s">
        <v>545</v>
      </c>
      <c r="V1061" s="40" t="s">
        <v>545</v>
      </c>
      <c r="W1061" s="40" t="s">
        <v>545</v>
      </c>
      <c r="X1061" s="3"/>
      <c r="Y1061"/>
    </row>
    <row r="1062" spans="1:25" hidden="1" x14ac:dyDescent="0.25">
      <c r="A1062" s="10">
        <v>295</v>
      </c>
      <c r="B1062" s="1">
        <f>IFERROR(VLOOKUP(ТабПозиции[[#This Row],[orderNum]],ТабЗаказы[#Data],MATCH(B$7,ТабЗаказы[#Headers],0),0),"")</f>
        <v>45580</v>
      </c>
      <c r="C1062" t="str">
        <f>MONTH(ТабПозиции[[#This Row],[date]])&amp;"/"&amp;YEAR(ТабПозиции[[#This Row],[date]])</f>
        <v>10/2024</v>
      </c>
      <c r="D1062" s="1" t="str">
        <f>IFERROR(VLOOKUP(ТабПозиции[[#This Row],[orderNum]],ТабЗаказы[#Data],MATCH(D$7,ТабЗаказы[#Headers],0),0),"")</f>
        <v/>
      </c>
      <c r="E1062" s="1" t="str">
        <f>IFERROR(VLOOKUP(ТабПозиции[[#This Row],[orderNum]],ТабЗаказы[#Data],MATCH(E$7,ТабЗаказы[#Headers],0),0),"")</f>
        <v/>
      </c>
      <c r="F1062" s="16" t="s">
        <v>1571</v>
      </c>
      <c r="G1062" s="40" t="s">
        <v>545</v>
      </c>
      <c r="I1062" s="18">
        <v>45584</v>
      </c>
      <c r="J1062" s="10">
        <v>1</v>
      </c>
      <c r="K1062" s="10">
        <v>386</v>
      </c>
      <c r="L1062">
        <v>386</v>
      </c>
      <c r="M1062" s="10">
        <v>407</v>
      </c>
      <c r="N1062">
        <f t="shared" si="20"/>
        <v>407</v>
      </c>
      <c r="P10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Row],[orderNum]],ТабПозиции[orderSumm])&gt;1500),ABS(N1062*VLOOKUP(ТабПозиции[[#This Row],[orderNum]],ТабЗаказы[#Data],MATCH("Percent",ТабЗаказы[#Headers],0),0))/100,200/COUNTIF(ТабПозиции[orderNum],ТабПозиции[[#This Row],[orderNum]])),0),"")</f>
        <v>61</v>
      </c>
      <c r="Q1062">
        <f>IF(OR(ТабПозиции[[#This Row],[item]]="По штрихкоду",ТабПозиции[[#This Row],[item]]="Посылка"),ТабПозиции[[#This Row],[deliverySumm]]+ТабПозиции[[#This Row],[deliveryPost]],SUM(N1062:P1062))</f>
        <v>468</v>
      </c>
      <c r="R1062" s="41">
        <v>468</v>
      </c>
      <c r="S1062" s="46">
        <f>ТабПозиции[[#This Row],[totalSumm]]-ТабПозиции[[#This Row],[payment]]</f>
        <v>0</v>
      </c>
      <c r="T1062" s="18" t="s">
        <v>970</v>
      </c>
      <c r="U1062" s="40" t="s">
        <v>545</v>
      </c>
      <c r="V1062" s="40" t="s">
        <v>545</v>
      </c>
      <c r="W1062" s="40" t="s">
        <v>545</v>
      </c>
      <c r="X1062" s="3"/>
      <c r="Y1062"/>
    </row>
    <row r="1063" spans="1:25" hidden="1" x14ac:dyDescent="0.25">
      <c r="A1063" s="10">
        <v>295</v>
      </c>
      <c r="B1063" s="1">
        <f>IFERROR(VLOOKUP(ТабПозиции[[#This Row],[orderNum]],ТабЗаказы[#Data],MATCH(B$7,ТабЗаказы[#Headers],0),0),"")</f>
        <v>45580</v>
      </c>
      <c r="C1063" t="str">
        <f>MONTH(ТабПозиции[[#This Row],[date]])&amp;"/"&amp;YEAR(ТабПозиции[[#This Row],[date]])</f>
        <v>10/2024</v>
      </c>
      <c r="D1063" s="1" t="str">
        <f>IFERROR(VLOOKUP(ТабПозиции[[#This Row],[orderNum]],ТабЗаказы[#Data],MATCH(D$7,ТабЗаказы[#Headers],0),0),"")</f>
        <v/>
      </c>
      <c r="E1063" s="1" t="str">
        <f>IFERROR(VLOOKUP(ТабПозиции[[#This Row],[orderNum]],ТабЗаказы[#Data],MATCH(E$7,ТабЗаказы[#Headers],0),0),"")</f>
        <v/>
      </c>
      <c r="F1063" s="16" t="s">
        <v>1257</v>
      </c>
      <c r="G1063" s="40" t="s">
        <v>545</v>
      </c>
      <c r="I1063" s="18">
        <v>45582</v>
      </c>
      <c r="J1063" s="10">
        <v>1</v>
      </c>
      <c r="K1063" s="10">
        <v>136</v>
      </c>
      <c r="L1063">
        <v>136</v>
      </c>
      <c r="M1063" s="10">
        <v>144</v>
      </c>
      <c r="N1063">
        <f t="shared" si="20"/>
        <v>144</v>
      </c>
      <c r="P10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Row],[orderNum]],ТабПозиции[orderSumm])&gt;1500),ABS(N1063*VLOOKUP(ТабПозиции[[#This Row],[orderNum]],ТабЗаказы[#Data],MATCH("Percent",ТабЗаказы[#Headers],0),0))/100,200/COUNTIF(ТабПозиции[orderNum],ТабПозиции[[#This Row],[orderNum]])),0),"")</f>
        <v>22</v>
      </c>
      <c r="Q1063">
        <f>IF(OR(ТабПозиции[[#This Row],[item]]="По штрихкоду",ТабПозиции[[#This Row],[item]]="Посылка"),ТабПозиции[[#This Row],[deliverySumm]]+ТабПозиции[[#This Row],[deliveryPost]],SUM(N1063:P1063))</f>
        <v>166</v>
      </c>
      <c r="R1063" s="41">
        <v>166</v>
      </c>
      <c r="S1063" s="46">
        <f>ТабПозиции[[#This Row],[totalSumm]]-ТабПозиции[[#This Row],[payment]]</f>
        <v>0</v>
      </c>
      <c r="T1063" s="18" t="s">
        <v>970</v>
      </c>
      <c r="U1063" s="40" t="s">
        <v>545</v>
      </c>
      <c r="V1063" s="40" t="s">
        <v>545</v>
      </c>
      <c r="W1063" s="40" t="s">
        <v>545</v>
      </c>
      <c r="X1063" s="3"/>
      <c r="Y1063"/>
    </row>
    <row r="1064" spans="1:25" hidden="1" x14ac:dyDescent="0.25">
      <c r="A1064" s="10">
        <v>295</v>
      </c>
      <c r="B1064" s="1">
        <f>IFERROR(VLOOKUP(ТабПозиции[[#This Row],[orderNum]],ТабЗаказы[#Data],MATCH(B$7,ТабЗаказы[#Headers],0),0),"")</f>
        <v>45580</v>
      </c>
      <c r="C1064" t="str">
        <f>MONTH(ТабПозиции[[#This Row],[date]])&amp;"/"&amp;YEAR(ТабПозиции[[#This Row],[date]])</f>
        <v>10/2024</v>
      </c>
      <c r="D1064" s="1" t="str">
        <f>IFERROR(VLOOKUP(ТабПозиции[[#This Row],[orderNum]],ТабЗаказы[#Data],MATCH(D$7,ТабЗаказы[#Headers],0),0),"")</f>
        <v/>
      </c>
      <c r="E1064" s="1" t="str">
        <f>IFERROR(VLOOKUP(ТабПозиции[[#This Row],[orderNum]],ТабЗаказы[#Data],MATCH(E$7,ТабЗаказы[#Headers],0),0),"")</f>
        <v/>
      </c>
      <c r="F1064" s="16" t="s">
        <v>1572</v>
      </c>
      <c r="G1064" s="40" t="s">
        <v>545</v>
      </c>
      <c r="I1064" s="18">
        <v>45583</v>
      </c>
      <c r="J1064" s="10">
        <v>1</v>
      </c>
      <c r="K1064" s="10">
        <v>240</v>
      </c>
      <c r="L1064">
        <v>240</v>
      </c>
      <c r="M1064" s="10">
        <v>253</v>
      </c>
      <c r="N1064">
        <f t="shared" si="20"/>
        <v>253</v>
      </c>
      <c r="P10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Row],[orderNum]],ТабПозиции[orderSumm])&gt;1500),ABS(N1064*VLOOKUP(ТабПозиции[[#This Row],[orderNum]],ТабЗаказы[#Data],MATCH("Percent",ТабЗаказы[#Headers],0),0))/100,200/COUNTIF(ТабПозиции[orderNum],ТабПозиции[[#This Row],[orderNum]])),0),"")</f>
        <v>38</v>
      </c>
      <c r="Q1064">
        <f>IF(OR(ТабПозиции[[#This Row],[item]]="По штрихкоду",ТабПозиции[[#This Row],[item]]="Посылка"),ТабПозиции[[#This Row],[deliverySumm]]+ТабПозиции[[#This Row],[deliveryPost]],SUM(N1064:P1064))</f>
        <v>291</v>
      </c>
      <c r="R1064" s="41">
        <v>291</v>
      </c>
      <c r="S1064" s="46">
        <f>ТабПозиции[[#This Row],[totalSumm]]-ТабПозиции[[#This Row],[payment]]</f>
        <v>0</v>
      </c>
      <c r="T1064" s="18" t="s">
        <v>970</v>
      </c>
      <c r="U1064" s="40" t="s">
        <v>545</v>
      </c>
      <c r="V1064" s="40" t="s">
        <v>545</v>
      </c>
      <c r="W1064" s="40" t="s">
        <v>545</v>
      </c>
      <c r="X1064" s="3"/>
      <c r="Y1064"/>
    </row>
    <row r="1065" spans="1:25" hidden="1" x14ac:dyDescent="0.25">
      <c r="A1065" s="10">
        <v>295</v>
      </c>
      <c r="B1065" s="1">
        <f>IFERROR(VLOOKUP(ТабПозиции[[#This Row],[orderNum]],ТабЗаказы[#Data],MATCH(B$7,ТабЗаказы[#Headers],0),0),"")</f>
        <v>45580</v>
      </c>
      <c r="C1065" t="str">
        <f>MONTH(ТабПозиции[[#This Row],[date]])&amp;"/"&amp;YEAR(ТабПозиции[[#This Row],[date]])</f>
        <v>10/2024</v>
      </c>
      <c r="D1065" s="1" t="str">
        <f>IFERROR(VLOOKUP(ТабПозиции[[#This Row],[orderNum]],ТабЗаказы[#Data],MATCH(D$7,ТабЗаказы[#Headers],0),0),"")</f>
        <v/>
      </c>
      <c r="E1065" s="1" t="str">
        <f>IFERROR(VLOOKUP(ТабПозиции[[#This Row],[orderNum]],ТабЗаказы[#Data],MATCH(E$7,ТабЗаказы[#Headers],0),0),"")</f>
        <v/>
      </c>
      <c r="F1065" s="16" t="s">
        <v>1573</v>
      </c>
      <c r="G1065" s="40" t="s">
        <v>545</v>
      </c>
      <c r="I1065" s="18">
        <v>45586</v>
      </c>
      <c r="J1065" s="10">
        <v>1</v>
      </c>
      <c r="K1065" s="10">
        <v>481</v>
      </c>
      <c r="L1065">
        <v>481</v>
      </c>
      <c r="M1065" s="10">
        <v>507</v>
      </c>
      <c r="N1065">
        <f t="shared" si="20"/>
        <v>507</v>
      </c>
      <c r="P10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Row],[orderNum]],ТабПозиции[orderSumm])&gt;1500),ABS(N1065*VLOOKUP(ТабПозиции[[#This Row],[orderNum]],ТабЗаказы[#Data],MATCH("Percent",ТабЗаказы[#Headers],0),0))/100,200/COUNTIF(ТабПозиции[orderNum],ТабПозиции[[#This Row],[orderNum]])),0),"")</f>
        <v>76</v>
      </c>
      <c r="Q1065">
        <f>IF(OR(ТабПозиции[[#This Row],[item]]="По штрихкоду",ТабПозиции[[#This Row],[item]]="Посылка"),ТабПозиции[[#This Row],[deliverySumm]]+ТабПозиции[[#This Row],[deliveryPost]],SUM(N1065:P1065))</f>
        <v>583</v>
      </c>
      <c r="R1065" s="41">
        <v>583</v>
      </c>
      <c r="S1065" s="46">
        <f>ТабПозиции[[#This Row],[totalSumm]]-ТабПозиции[[#This Row],[payment]]</f>
        <v>0</v>
      </c>
      <c r="T1065" s="18" t="s">
        <v>970</v>
      </c>
      <c r="U1065" s="40" t="s">
        <v>545</v>
      </c>
      <c r="V1065" s="40" t="s">
        <v>545</v>
      </c>
      <c r="W1065" s="40" t="s">
        <v>545</v>
      </c>
      <c r="X1065" s="3"/>
      <c r="Y1065"/>
    </row>
    <row r="1066" spans="1:25" hidden="1" x14ac:dyDescent="0.25">
      <c r="A1066" s="10">
        <v>295</v>
      </c>
      <c r="B1066" s="1">
        <f>IFERROR(VLOOKUP(ТабПозиции[[#This Row],[orderNum]],ТабЗаказы[#Data],MATCH(B$7,ТабЗаказы[#Headers],0),0),"")</f>
        <v>45580</v>
      </c>
      <c r="C1066" t="str">
        <f>MONTH(ТабПозиции[[#This Row],[date]])&amp;"/"&amp;YEAR(ТабПозиции[[#This Row],[date]])</f>
        <v>10/2024</v>
      </c>
      <c r="D1066" s="1" t="str">
        <f>IFERROR(VLOOKUP(ТабПозиции[[#This Row],[orderNum]],ТабЗаказы[#Data],MATCH(D$7,ТабЗаказы[#Headers],0),0),"")</f>
        <v/>
      </c>
      <c r="E1066" s="1" t="str">
        <f>IFERROR(VLOOKUP(ТабПозиции[[#This Row],[orderNum]],ТабЗаказы[#Data],MATCH(E$7,ТабЗаказы[#Headers],0),0),"")</f>
        <v/>
      </c>
      <c r="F1066" s="16" t="s">
        <v>1574</v>
      </c>
      <c r="G1066" s="40" t="s">
        <v>545</v>
      </c>
      <c r="I1066" s="18">
        <v>45582</v>
      </c>
      <c r="J1066" s="10">
        <v>1</v>
      </c>
      <c r="K1066" s="10">
        <v>169</v>
      </c>
      <c r="L1066">
        <v>169</v>
      </c>
      <c r="M1066" s="10">
        <v>178</v>
      </c>
      <c r="N1066">
        <f t="shared" si="20"/>
        <v>178</v>
      </c>
      <c r="P10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Row],[orderNum]],ТабПозиции[orderSumm])&gt;1500),ABS(N1066*VLOOKUP(ТабПозиции[[#This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066">
        <f>IF(OR(ТабПозиции[[#This Row],[item]]="По штрихкоду",ТабПозиции[[#This Row],[item]]="Посылка"),ТабПозиции[[#This Row],[deliverySumm]]+ТабПозиции[[#This Row],[deliveryPost]],SUM(N1066:P1066))</f>
        <v>205</v>
      </c>
      <c r="R1066" s="41">
        <v>205</v>
      </c>
      <c r="S1066" s="46">
        <f>ТабПозиции[[#This Row],[totalSumm]]-ТабПозиции[[#This Row],[payment]]</f>
        <v>0</v>
      </c>
      <c r="T1066" s="18" t="s">
        <v>970</v>
      </c>
      <c r="U1066" s="40" t="s">
        <v>545</v>
      </c>
      <c r="V1066" s="40" t="s">
        <v>545</v>
      </c>
      <c r="W1066" s="40" t="s">
        <v>545</v>
      </c>
      <c r="X1066" s="3"/>
      <c r="Y1066"/>
    </row>
    <row r="1067" spans="1:25" hidden="1" x14ac:dyDescent="0.25">
      <c r="A1067" s="10">
        <v>295</v>
      </c>
      <c r="B1067" s="1">
        <f>IFERROR(VLOOKUP(ТабПозиции[[#This Row],[orderNum]],ТабЗаказы[#Data],MATCH(B$7,ТабЗаказы[#Headers],0),0),"")</f>
        <v>45580</v>
      </c>
      <c r="C1067" t="str">
        <f>MONTH(ТабПозиции[[#This Row],[date]])&amp;"/"&amp;YEAR(ТабПозиции[[#This Row],[date]])</f>
        <v>10/2024</v>
      </c>
      <c r="D1067" s="1" t="str">
        <f>IFERROR(VLOOKUP(ТабПозиции[[#This Row],[orderNum]],ТабЗаказы[#Data],MATCH(D$7,ТабЗаказы[#Headers],0),0),"")</f>
        <v/>
      </c>
      <c r="E1067" s="1" t="str">
        <f>IFERROR(VLOOKUP(ТабПозиции[[#This Row],[orderNum]],ТабЗаказы[#Data],MATCH(E$7,ТабЗаказы[#Headers],0),0),"")</f>
        <v/>
      </c>
      <c r="F1067" s="16" t="s">
        <v>1575</v>
      </c>
      <c r="G1067" s="40" t="s">
        <v>545</v>
      </c>
      <c r="I1067" s="18">
        <v>45584</v>
      </c>
      <c r="J1067" s="10">
        <v>1</v>
      </c>
      <c r="K1067" s="10">
        <v>478</v>
      </c>
      <c r="L1067">
        <v>478</v>
      </c>
      <c r="M1067" s="10">
        <v>504</v>
      </c>
      <c r="N1067">
        <f t="shared" si="20"/>
        <v>504</v>
      </c>
      <c r="P10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Row],[orderNum]],ТабПозиции[orderSumm])&gt;1500),ABS(N1067*VLOOKUP(ТабПозиции[[#This Row],[orderNum]],ТабЗаказы[#Data],MATCH("Percent",ТабЗаказы[#Headers],0),0))/100,200/COUNTIF(ТабПозиции[orderNum],ТабПозиции[[#This Row],[orderNum]])),0),"")</f>
        <v>76</v>
      </c>
      <c r="Q1067">
        <f>IF(OR(ТабПозиции[[#This Row],[item]]="По штрихкоду",ТабПозиции[[#This Row],[item]]="Посылка"),ТабПозиции[[#This Row],[deliverySumm]]+ТабПозиции[[#This Row],[deliveryPost]],SUM(N1067:P1067))</f>
        <v>580</v>
      </c>
      <c r="R1067" s="41">
        <v>580</v>
      </c>
      <c r="S1067" s="46">
        <f>ТабПозиции[[#This Row],[totalSumm]]-ТабПозиции[[#This Row],[payment]]</f>
        <v>0</v>
      </c>
      <c r="T1067" s="18" t="s">
        <v>970</v>
      </c>
      <c r="U1067" s="40" t="s">
        <v>545</v>
      </c>
      <c r="V1067" s="40" t="s">
        <v>545</v>
      </c>
      <c r="W1067" s="40" t="s">
        <v>545</v>
      </c>
      <c r="X1067" s="3"/>
      <c r="Y1067"/>
    </row>
    <row r="1068" spans="1:25" hidden="1" x14ac:dyDescent="0.25">
      <c r="A1068" s="10">
        <v>295</v>
      </c>
      <c r="B1068" s="1">
        <f>IFERROR(VLOOKUP(ТабПозиции[[#This Row],[orderNum]],ТабЗаказы[#Data],MATCH(B$7,ТабЗаказы[#Headers],0),0),"")</f>
        <v>45580</v>
      </c>
      <c r="C1068" t="str">
        <f>MONTH(ТабПозиции[[#This Row],[date]])&amp;"/"&amp;YEAR(ТабПозиции[[#This Row],[date]])</f>
        <v>10/2024</v>
      </c>
      <c r="D1068" s="1" t="str">
        <f>IFERROR(VLOOKUP(ТабПозиции[[#This Row],[orderNum]],ТабЗаказы[#Data],MATCH(D$7,ТабЗаказы[#Headers],0),0),"")</f>
        <v/>
      </c>
      <c r="E1068" s="1" t="str">
        <f>IFERROR(VLOOKUP(ТабПозиции[[#This Row],[orderNum]],ТабЗаказы[#Data],MATCH(E$7,ТабЗаказы[#Headers],0),0),"")</f>
        <v/>
      </c>
      <c r="F1068" s="16" t="s">
        <v>668</v>
      </c>
      <c r="G1068" s="40" t="s">
        <v>545</v>
      </c>
      <c r="I1068" s="18">
        <v>45583</v>
      </c>
      <c r="J1068" s="10">
        <v>1</v>
      </c>
      <c r="K1068" s="10">
        <v>270</v>
      </c>
      <c r="L1068">
        <v>270</v>
      </c>
      <c r="M1068" s="10">
        <v>285</v>
      </c>
      <c r="N1068">
        <f t="shared" si="20"/>
        <v>285</v>
      </c>
      <c r="P10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Row],[orderNum]],ТабПозиции[orderSumm])&gt;1500),ABS(N1068*VLOOKUP(ТабПозиции[[#This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068">
        <f>IF(OR(ТабПозиции[[#This Row],[item]]="По штрихкоду",ТабПозиции[[#This Row],[item]]="Посылка"),ТабПозиции[[#This Row],[deliverySumm]]+ТабПозиции[[#This Row],[deliveryPost]],SUM(N1068:P1068))</f>
        <v>328</v>
      </c>
      <c r="R1068" s="41">
        <v>328</v>
      </c>
      <c r="S1068" s="46">
        <f>ТабПозиции[[#This Row],[totalSumm]]-ТабПозиции[[#This Row],[payment]]</f>
        <v>0</v>
      </c>
      <c r="T1068" s="18" t="s">
        <v>970</v>
      </c>
      <c r="U1068" s="40" t="s">
        <v>545</v>
      </c>
      <c r="V1068" s="40" t="s">
        <v>545</v>
      </c>
      <c r="W1068" s="40" t="s">
        <v>545</v>
      </c>
      <c r="X1068" s="3"/>
      <c r="Y1068"/>
    </row>
    <row r="1069" spans="1:25" hidden="1" x14ac:dyDescent="0.25">
      <c r="A1069" s="10">
        <v>295</v>
      </c>
      <c r="B1069" s="1">
        <f>IFERROR(VLOOKUP(ТабПозиции[[#This Row],[orderNum]],ТабЗаказы[#Data],MATCH(B$7,ТабЗаказы[#Headers],0),0),"")</f>
        <v>45580</v>
      </c>
      <c r="C1069" t="str">
        <f>MONTH(ТабПозиции[[#This Row],[date]])&amp;"/"&amp;YEAR(ТабПозиции[[#This Row],[date]])</f>
        <v>10/2024</v>
      </c>
      <c r="D1069" s="1" t="str">
        <f>IFERROR(VLOOKUP(ТабПозиции[[#This Row],[orderNum]],ТабЗаказы[#Data],MATCH(D$7,ТабЗаказы[#Headers],0),0),"")</f>
        <v/>
      </c>
      <c r="E1069" s="1" t="str">
        <f>IFERROR(VLOOKUP(ТабПозиции[[#This Row],[orderNum]],ТабЗаказы[#Data],MATCH(E$7,ТабЗаказы[#Headers],0),0),"")</f>
        <v/>
      </c>
      <c r="F1069" s="16" t="s">
        <v>1576</v>
      </c>
      <c r="G1069" s="40" t="s">
        <v>545</v>
      </c>
      <c r="I1069" s="18">
        <v>45583</v>
      </c>
      <c r="J1069" s="10">
        <v>1</v>
      </c>
      <c r="K1069" s="10">
        <v>263</v>
      </c>
      <c r="L1069">
        <v>263</v>
      </c>
      <c r="M1069" s="10">
        <v>277</v>
      </c>
      <c r="N1069">
        <f t="shared" si="20"/>
        <v>277</v>
      </c>
      <c r="P10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Row],[orderNum]],ТабПозиции[orderSumm])&gt;1500),ABS(N1069*VLOOKUP(ТабПозиции[[#This Row],[orderNum]],ТабЗаказы[#Data],MATCH("Percent",ТабЗаказы[#Headers],0),0))/100,200/COUNTIF(ТабПозиции[orderNum],ТабПозиции[[#This Row],[orderNum]])),0),"")</f>
        <v>42</v>
      </c>
      <c r="Q1069">
        <f>IF(OR(ТабПозиции[[#This Row],[item]]="По штрихкоду",ТабПозиции[[#This Row],[item]]="Посылка"),ТабПозиции[[#This Row],[deliverySumm]]+ТабПозиции[[#This Row],[deliveryPost]],SUM(N1069:P1069))</f>
        <v>319</v>
      </c>
      <c r="R1069" s="41">
        <v>319</v>
      </c>
      <c r="S1069" s="46">
        <f>ТабПозиции[[#This Row],[totalSumm]]-ТабПозиции[[#This Row],[payment]]</f>
        <v>0</v>
      </c>
      <c r="T1069" s="18" t="s">
        <v>970</v>
      </c>
      <c r="U1069" s="40" t="s">
        <v>545</v>
      </c>
      <c r="V1069" s="40" t="s">
        <v>545</v>
      </c>
      <c r="W1069" s="40" t="s">
        <v>545</v>
      </c>
      <c r="X1069" s="3"/>
      <c r="Y1069"/>
    </row>
    <row r="1070" spans="1:25" hidden="1" x14ac:dyDescent="0.25">
      <c r="A1070" s="10">
        <v>295</v>
      </c>
      <c r="B1070" s="1">
        <f>IFERROR(VLOOKUP(ТабПозиции[[#This Row],[orderNum]],ТабЗаказы[#Data],MATCH(B$7,ТабЗаказы[#Headers],0),0),"")</f>
        <v>45580</v>
      </c>
      <c r="C1070" t="str">
        <f>MONTH(ТабПозиции[[#This Row],[date]])&amp;"/"&amp;YEAR(ТабПозиции[[#This Row],[date]])</f>
        <v>10/2024</v>
      </c>
      <c r="D1070" s="1" t="str">
        <f>IFERROR(VLOOKUP(ТабПозиции[[#This Row],[orderNum]],ТабЗаказы[#Data],MATCH(D$7,ТабЗаказы[#Headers],0),0),"")</f>
        <v/>
      </c>
      <c r="E1070" s="1" t="str">
        <f>IFERROR(VLOOKUP(ТабПозиции[[#This Row],[orderNum]],ТабЗаказы[#Data],MATCH(E$7,ТабЗаказы[#Headers],0),0),"")</f>
        <v/>
      </c>
      <c r="F1070" s="16" t="s">
        <v>1325</v>
      </c>
      <c r="G1070" s="40" t="s">
        <v>545</v>
      </c>
      <c r="I1070" s="18">
        <v>45585</v>
      </c>
      <c r="J1070" s="10">
        <v>1</v>
      </c>
      <c r="K1070" s="10">
        <v>184</v>
      </c>
      <c r="L1070">
        <v>184</v>
      </c>
      <c r="M1070" s="10">
        <v>194</v>
      </c>
      <c r="N1070">
        <f t="shared" si="20"/>
        <v>194</v>
      </c>
      <c r="P10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Row],[orderNum]],ТабПозиции[orderSumm])&gt;1500),ABS(N1070*VLOOKUP(ТабПозиции[[#This Row],[orderNum]],ТабЗаказы[#Data],MATCH("Percent",ТабЗаказы[#Headers],0),0))/100,200/COUNTIF(ТабПозиции[orderNum],ТабПозиции[[#This Row],[orderNum]])),0),"")</f>
        <v>29</v>
      </c>
      <c r="Q1070">
        <f>IF(OR(ТабПозиции[[#This Row],[item]]="По штрихкоду",ТабПозиции[[#This Row],[item]]="Посылка"),ТабПозиции[[#This Row],[deliverySumm]]+ТабПозиции[[#This Row],[deliveryPost]],SUM(N1070:P1070))</f>
        <v>223</v>
      </c>
      <c r="R1070" s="41">
        <v>223</v>
      </c>
      <c r="S1070" s="46">
        <f>ТабПозиции[[#This Row],[totalSumm]]-ТабПозиции[[#This Row],[payment]]</f>
        <v>0</v>
      </c>
      <c r="T1070" s="18" t="s">
        <v>970</v>
      </c>
      <c r="U1070" s="40" t="s">
        <v>545</v>
      </c>
      <c r="V1070" s="40" t="s">
        <v>545</v>
      </c>
      <c r="W1070" s="40" t="s">
        <v>545</v>
      </c>
      <c r="X1070" s="3"/>
      <c r="Y1070"/>
    </row>
    <row r="1071" spans="1:25" hidden="1" x14ac:dyDescent="0.25">
      <c r="A1071" s="10">
        <v>295</v>
      </c>
      <c r="B1071" s="1">
        <f>IFERROR(VLOOKUP(ТабПозиции[[#This Row],[orderNum]],ТабЗаказы[#Data],MATCH(B$7,ТабЗаказы[#Headers],0),0),"")</f>
        <v>45580</v>
      </c>
      <c r="C1071" t="str">
        <f>MONTH(ТабПозиции[[#This Row],[date]])&amp;"/"&amp;YEAR(ТабПозиции[[#This Row],[date]])</f>
        <v>10/2024</v>
      </c>
      <c r="D1071" s="1" t="str">
        <f>IFERROR(VLOOKUP(ТабПозиции[[#This Row],[orderNum]],ТабЗаказы[#Data],MATCH(D$7,ТабЗаказы[#Headers],0),0),"")</f>
        <v/>
      </c>
      <c r="E1071" s="1" t="str">
        <f>IFERROR(VLOOKUP(ТабПозиции[[#This Row],[orderNum]],ТабЗаказы[#Data],MATCH(E$7,ТабЗаказы[#Headers],0),0),"")</f>
        <v/>
      </c>
      <c r="F1071" s="16" t="s">
        <v>1577</v>
      </c>
      <c r="G1071" s="40" t="s">
        <v>545</v>
      </c>
      <c r="I1071" s="18">
        <v>45583</v>
      </c>
      <c r="J1071" s="10">
        <v>1</v>
      </c>
      <c r="K1071" s="10">
        <v>459</v>
      </c>
      <c r="L1071">
        <v>459</v>
      </c>
      <c r="M1071" s="10">
        <v>484</v>
      </c>
      <c r="N1071">
        <f t="shared" si="20"/>
        <v>484</v>
      </c>
      <c r="P10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Row],[orderNum]],ТабПозиции[orderSumm])&gt;1500),ABS(N1071*VLOOKUP(ТабПозиции[[#This Row],[orderNum]],ТабЗаказы[#Data],MATCH("Percent",ТабЗаказы[#Headers],0),0))/100,200/COUNTIF(ТабПозиции[orderNum],ТабПозиции[[#This Row],[orderNum]])),0),"")</f>
        <v>73</v>
      </c>
      <c r="Q1071">
        <f>IF(OR(ТабПозиции[[#This Row],[item]]="По штрихкоду",ТабПозиции[[#This Row],[item]]="Посылка"),ТабПозиции[[#This Row],[deliverySumm]]+ТабПозиции[[#This Row],[deliveryPost]],SUM(N1071:P1071))</f>
        <v>557</v>
      </c>
      <c r="R1071" s="41">
        <v>557</v>
      </c>
      <c r="S1071" s="46">
        <f>ТабПозиции[[#This Row],[totalSumm]]-ТабПозиции[[#This Row],[payment]]</f>
        <v>0</v>
      </c>
      <c r="T1071" s="18" t="s">
        <v>970</v>
      </c>
      <c r="U1071" s="40" t="s">
        <v>545</v>
      </c>
      <c r="V1071" s="40" t="s">
        <v>545</v>
      </c>
      <c r="W1071" s="40" t="s">
        <v>545</v>
      </c>
      <c r="X1071" s="3"/>
      <c r="Y1071"/>
    </row>
    <row r="1072" spans="1:25" hidden="1" x14ac:dyDescent="0.25">
      <c r="A1072" s="10">
        <v>295</v>
      </c>
      <c r="B1072" s="1">
        <f>IFERROR(VLOOKUP(ТабПозиции[[#This Row],[orderNum]],ТабЗаказы[#Data],MATCH(B$7,ТабЗаказы[#Headers],0),0),"")</f>
        <v>45580</v>
      </c>
      <c r="C1072" t="str">
        <f>MONTH(ТабПозиции[[#This Row],[date]])&amp;"/"&amp;YEAR(ТабПозиции[[#This Row],[date]])</f>
        <v>10/2024</v>
      </c>
      <c r="D1072" s="1" t="str">
        <f>IFERROR(VLOOKUP(ТабПозиции[[#This Row],[orderNum]],ТабЗаказы[#Data],MATCH(D$7,ТабЗаказы[#Headers],0),0),"")</f>
        <v/>
      </c>
      <c r="E1072" s="1" t="str">
        <f>IFERROR(VLOOKUP(ТабПозиции[[#This Row],[orderNum]],ТабЗаказы[#Data],MATCH(E$7,ТабЗаказы[#Headers],0),0),"")</f>
        <v/>
      </c>
      <c r="F1072" s="16" t="s">
        <v>1578</v>
      </c>
      <c r="G1072" s="40" t="s">
        <v>545</v>
      </c>
      <c r="I1072" s="18">
        <v>45583</v>
      </c>
      <c r="J1072" s="10">
        <v>1</v>
      </c>
      <c r="K1072" s="10">
        <v>274</v>
      </c>
      <c r="L1072">
        <v>274</v>
      </c>
      <c r="M1072" s="10">
        <v>289</v>
      </c>
      <c r="N1072">
        <f t="shared" si="20"/>
        <v>289</v>
      </c>
      <c r="P10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Row],[orderNum]],ТабПозиции[orderSumm])&gt;1500),ABS(N1072*VLOOKUP(ТабПозиции[[#This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072">
        <f>IF(OR(ТабПозиции[[#This Row],[item]]="По штрихкоду",ТабПозиции[[#This Row],[item]]="Посылка"),ТабПозиции[[#This Row],[deliverySumm]]+ТабПозиции[[#This Row],[deliveryPost]],SUM(N1072:P1072))</f>
        <v>332</v>
      </c>
      <c r="R1072" s="41">
        <v>332</v>
      </c>
      <c r="S1072" s="46">
        <f>ТабПозиции[[#This Row],[totalSumm]]-ТабПозиции[[#This Row],[payment]]</f>
        <v>0</v>
      </c>
      <c r="T1072" s="18" t="s">
        <v>970</v>
      </c>
      <c r="U1072" s="40" t="s">
        <v>545</v>
      </c>
      <c r="V1072" s="40" t="s">
        <v>545</v>
      </c>
      <c r="W1072" s="40" t="s">
        <v>545</v>
      </c>
      <c r="X1072" s="3"/>
      <c r="Y1072"/>
    </row>
    <row r="1073" spans="1:25" hidden="1" x14ac:dyDescent="0.25">
      <c r="A1073" s="10">
        <v>295</v>
      </c>
      <c r="B1073" s="1">
        <f>IFERROR(VLOOKUP(ТабПозиции[[#This Row],[orderNum]],ТабЗаказы[#Data],MATCH(B$7,ТабЗаказы[#Headers],0),0),"")</f>
        <v>45580</v>
      </c>
      <c r="C1073" t="str">
        <f>MONTH(ТабПозиции[[#This Row],[date]])&amp;"/"&amp;YEAR(ТабПозиции[[#This Row],[date]])</f>
        <v>10/2024</v>
      </c>
      <c r="D1073" s="1" t="str">
        <f>IFERROR(VLOOKUP(ТабПозиции[[#This Row],[orderNum]],ТабЗаказы[#Data],MATCH(D$7,ТабЗаказы[#Headers],0),0),"")</f>
        <v/>
      </c>
      <c r="E1073" s="1" t="str">
        <f>IFERROR(VLOOKUP(ТабПозиции[[#This Row],[orderNum]],ТабЗаказы[#Data],MATCH(E$7,ТабЗаказы[#Headers],0),0),"")</f>
        <v/>
      </c>
      <c r="F1073" s="16" t="s">
        <v>1579</v>
      </c>
      <c r="G1073" s="40" t="s">
        <v>545</v>
      </c>
      <c r="I1073" s="18">
        <v>45584</v>
      </c>
      <c r="J1073" s="10">
        <v>1</v>
      </c>
      <c r="K1073" s="10">
        <v>352</v>
      </c>
      <c r="L1073">
        <v>352</v>
      </c>
      <c r="M1073" s="10">
        <v>371</v>
      </c>
      <c r="N1073">
        <f t="shared" si="20"/>
        <v>371</v>
      </c>
      <c r="P10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Row],[orderNum]],ТабПозиции[orderSumm])&gt;1500),ABS(N1073*VLOOKUP(ТабПозиции[[#This Row],[orderNum]],ТабЗаказы[#Data],MATCH("Percent",ТабЗаказы[#Headers],0),0))/100,200/COUNTIF(ТабПозиции[orderNum],ТабПозиции[[#This Row],[orderNum]])),0),"")</f>
        <v>56</v>
      </c>
      <c r="Q1073">
        <f>IF(OR(ТабПозиции[[#This Row],[item]]="По штрихкоду",ТабПозиции[[#This Row],[item]]="Посылка"),ТабПозиции[[#This Row],[deliverySumm]]+ТабПозиции[[#This Row],[deliveryPost]],SUM(N1073:P1073))</f>
        <v>427</v>
      </c>
      <c r="R1073" s="41">
        <v>427</v>
      </c>
      <c r="S1073" s="46">
        <f>ТабПозиции[[#This Row],[totalSumm]]-ТабПозиции[[#This Row],[payment]]</f>
        <v>0</v>
      </c>
      <c r="T1073" s="18" t="s">
        <v>970</v>
      </c>
      <c r="U1073" s="40" t="s">
        <v>545</v>
      </c>
      <c r="V1073" s="40" t="s">
        <v>545</v>
      </c>
      <c r="W1073" s="40" t="s">
        <v>545</v>
      </c>
      <c r="X1073" s="3"/>
      <c r="Y1073"/>
    </row>
    <row r="1074" spans="1:25" hidden="1" x14ac:dyDescent="0.25">
      <c r="A1074" s="10">
        <v>295</v>
      </c>
      <c r="B1074" s="1">
        <f>IFERROR(VLOOKUP(ТабПозиции[[#This Row],[orderNum]],ТабЗаказы[#Data],MATCH(B$7,ТабЗаказы[#Headers],0),0),"")</f>
        <v>45580</v>
      </c>
      <c r="C1074" t="str">
        <f>MONTH(ТабПозиции[[#This Row],[date]])&amp;"/"&amp;YEAR(ТабПозиции[[#This Row],[date]])</f>
        <v>10/2024</v>
      </c>
      <c r="D1074" s="1" t="str">
        <f>IFERROR(VLOOKUP(ТабПозиции[[#This Row],[orderNum]],ТабЗаказы[#Data],MATCH(D$7,ТабЗаказы[#Headers],0),0),"")</f>
        <v/>
      </c>
      <c r="E1074" s="1" t="str">
        <f>IFERROR(VLOOKUP(ТабПозиции[[#This Row],[orderNum]],ТабЗаказы[#Data],MATCH(E$7,ТабЗаказы[#Headers],0),0),"")</f>
        <v/>
      </c>
      <c r="F1074" s="16" t="s">
        <v>1580</v>
      </c>
      <c r="G1074" s="40" t="s">
        <v>545</v>
      </c>
      <c r="I1074" s="18">
        <v>45582</v>
      </c>
      <c r="J1074" s="10">
        <v>1</v>
      </c>
      <c r="K1074" s="10">
        <v>373</v>
      </c>
      <c r="L1074">
        <v>373</v>
      </c>
      <c r="M1074" s="10">
        <v>393</v>
      </c>
      <c r="N1074">
        <f t="shared" si="20"/>
        <v>393</v>
      </c>
      <c r="P10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Row],[orderNum]],ТабПозиции[orderSumm])&gt;1500),ABS(N1074*VLOOKUP(ТабПозиции[[#This Row],[orderNum]],ТабЗаказы[#Data],MATCH("Percent",ТабЗаказы[#Headers],0),0))/100,200/COUNTIF(ТабПозиции[orderNum],ТабПозиции[[#This Row],[orderNum]])),0),"")</f>
        <v>59</v>
      </c>
      <c r="Q1074">
        <f>IF(OR(ТабПозиции[[#This Row],[item]]="По штрихкоду",ТабПозиции[[#This Row],[item]]="Посылка"),ТабПозиции[[#This Row],[deliverySumm]]+ТабПозиции[[#This Row],[deliveryPost]],SUM(N1074:P1074))</f>
        <v>452</v>
      </c>
      <c r="R1074" s="41">
        <v>452</v>
      </c>
      <c r="S1074" s="46">
        <f>ТабПозиции[[#This Row],[totalSumm]]-ТабПозиции[[#This Row],[payment]]</f>
        <v>0</v>
      </c>
      <c r="T1074" s="18" t="s">
        <v>970</v>
      </c>
      <c r="U1074" s="40" t="s">
        <v>545</v>
      </c>
      <c r="V1074" s="40" t="s">
        <v>545</v>
      </c>
      <c r="W1074" s="40" t="s">
        <v>545</v>
      </c>
      <c r="X1074" s="3"/>
      <c r="Y1074"/>
    </row>
    <row r="1075" spans="1:25" hidden="1" x14ac:dyDescent="0.25">
      <c r="A1075" s="10">
        <v>294</v>
      </c>
      <c r="B1075" s="1">
        <f>IFERROR(VLOOKUP(ТабПозиции[[#This Row],[orderNum]],ТабЗаказы[#Data],MATCH(B$7,ТабЗаказы[#Headers],0),0),"")</f>
        <v>45580</v>
      </c>
      <c r="C1075" t="str">
        <f>MONTH(ТабПозиции[[#This Row],[date]])&amp;"/"&amp;YEAR(ТабПозиции[[#This Row],[date]])</f>
        <v>10/2024</v>
      </c>
      <c r="D1075" s="1" t="str">
        <f>IFERROR(VLOOKUP(ТабПозиции[[#This Row],[orderNum]],ТабЗаказы[#Data],MATCH(D$7,ТабЗаказы[#Headers],0),0),"")</f>
        <v/>
      </c>
      <c r="E1075" s="1" t="str">
        <f>IFERROR(VLOOKUP(ТабПозиции[[#This Row],[orderNum]],ТабЗаказы[#Data],MATCH(E$7,ТабЗаказы[#Headers],0),0),"")</f>
        <v/>
      </c>
      <c r="F1075" s="16" t="s">
        <v>1582</v>
      </c>
      <c r="G1075" s="40" t="s">
        <v>545</v>
      </c>
      <c r="I1075" s="18">
        <v>45586</v>
      </c>
      <c r="J1075" s="10">
        <v>1</v>
      </c>
      <c r="K1075" s="10">
        <v>1940</v>
      </c>
      <c r="L1075">
        <v>1940</v>
      </c>
      <c r="M1075" s="10">
        <v>1940</v>
      </c>
      <c r="N1075">
        <f t="shared" si="20"/>
        <v>1940</v>
      </c>
      <c r="P10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Row],[orderNum]],ТабПозиции[orderSumm])&gt;1500),ABS(N1075*VLOOKUP(ТабПозиции[[#This Row],[orderNum]],ТабЗаказы[#Data],MATCH("Percent",ТабЗаказы[#Headers],0),0))/100,200/COUNTIF(ТабПозиции[orderNum],ТабПозиции[[#This Row],[orderNum]])),0),"")</f>
        <v>291</v>
      </c>
      <c r="Q1075">
        <f>IF(OR(ТабПозиции[[#This Row],[item]]="По штрихкоду",ТабПозиции[[#This Row],[item]]="Посылка"),ТабПозиции[[#This Row],[deliverySumm]]+ТабПозиции[[#This Row],[deliveryPost]],SUM(N1075:P1075))</f>
        <v>2231</v>
      </c>
      <c r="R1075" s="41">
        <v>2231</v>
      </c>
      <c r="S1075" s="46">
        <f>ТабПозиции[[#This Row],[totalSumm]]-ТабПозиции[[#This Row],[payment]]</f>
        <v>0</v>
      </c>
      <c r="T1075" s="18" t="s">
        <v>1067</v>
      </c>
      <c r="U1075" s="40" t="s">
        <v>545</v>
      </c>
      <c r="V1075" s="40" t="s">
        <v>545</v>
      </c>
      <c r="W1075" s="40" t="s">
        <v>545</v>
      </c>
      <c r="X1075" s="3"/>
      <c r="Y1075"/>
    </row>
    <row r="1076" spans="1:25" hidden="1" x14ac:dyDescent="0.25">
      <c r="A1076" s="10">
        <v>283</v>
      </c>
      <c r="B1076" s="1">
        <f>IFERROR(VLOOKUP(ТабПозиции[[#This Row],[orderNum]],ТабЗаказы[#Data],MATCH(B$7,ТабЗаказы[#Headers],0),0),"")</f>
        <v>45575</v>
      </c>
      <c r="C1076" t="str">
        <f>MONTH(ТабПозиции[[#This Row],[date]])&amp;"/"&amp;YEAR(ТабПозиции[[#This Row],[date]])</f>
        <v>10/2024</v>
      </c>
      <c r="D1076" s="1" t="str">
        <f>IFERROR(VLOOKUP(ТабПозиции[[#This Row],[orderNum]],ТабЗаказы[#Data],MATCH(D$7,ТабЗаказы[#Headers],0),0),"")</f>
        <v/>
      </c>
      <c r="E1076" s="1" t="str">
        <f>IFERROR(VLOOKUP(ТабПозиции[[#This Row],[orderNum]],ТабЗаказы[#Data],MATCH(E$7,ТабЗаказы[#Headers],0),0),"")</f>
        <v/>
      </c>
      <c r="F1076" s="10" t="s">
        <v>820</v>
      </c>
      <c r="G1076" s="40" t="s">
        <v>545</v>
      </c>
      <c r="H1076" s="12" t="s">
        <v>1583</v>
      </c>
      <c r="I1076" s="18">
        <v>45586</v>
      </c>
      <c r="J1076" s="10">
        <v>1</v>
      </c>
      <c r="K1076" s="10">
        <v>5500</v>
      </c>
      <c r="L1076">
        <v>5500</v>
      </c>
      <c r="M1076" s="10">
        <v>5500</v>
      </c>
      <c r="N1076">
        <f t="shared" si="20"/>
        <v>5500</v>
      </c>
      <c r="P10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Row],[orderNum]],ТабПозиции[orderSumm])&gt;1500),ABS(N1076*VLOOKUP(ТабПозиции[[#This Row],[orderNum]],ТабЗаказы[#Data],MATCH("Percent",ТабЗаказы[#Headers],0),0))/100,200/COUNTIF(ТабПозиции[orderNum],ТабПозиции[[#This Row],[orderNum]])),0),"")</f>
        <v>550</v>
      </c>
      <c r="Q1076">
        <f>IF(OR(ТабПозиции[[#This Row],[item]]="По штрихкоду",ТабПозиции[[#This Row],[item]]="Посылка"),ТабПозиции[[#This Row],[deliverySumm]]+ТабПозиции[[#This Row],[deliveryPost]],SUM(N1076:P1076))</f>
        <v>550</v>
      </c>
      <c r="R1076" s="41">
        <v>550</v>
      </c>
      <c r="S1076" s="46">
        <f>ТабПозиции[[#This Row],[totalSumm]]-ТабПозиции[[#This Row],[payment]]</f>
        <v>0</v>
      </c>
      <c r="T1076" s="18" t="s">
        <v>1021</v>
      </c>
      <c r="U1076" s="40" t="s">
        <v>545</v>
      </c>
      <c r="V1076" s="40" t="s">
        <v>545</v>
      </c>
      <c r="W1076" s="40" t="s">
        <v>545</v>
      </c>
      <c r="X1076" s="3"/>
      <c r="Y1076"/>
    </row>
    <row r="1077" spans="1:25" hidden="1" x14ac:dyDescent="0.25">
      <c r="A1077" s="10">
        <v>267</v>
      </c>
      <c r="B1077" s="1">
        <f>IFERROR(VLOOKUP(ТабПозиции[[#This Row],[orderNum]],ТабЗаказы[#Data],MATCH(B$7,ТабЗаказы[#Headers],0),0),"")</f>
        <v>45580</v>
      </c>
      <c r="C1077" t="str">
        <f>MONTH(ТабПозиции[[#This Row],[date]])&amp;"/"&amp;YEAR(ТабПозиции[[#This Row],[date]])</f>
        <v>10/2024</v>
      </c>
      <c r="D1077" s="1" t="str">
        <f>IFERROR(VLOOKUP(ТабПозиции[[#This Row],[orderNum]],ТабЗаказы[#Data],MATCH(D$7,ТабЗаказы[#Headers],0),0),"")</f>
        <v/>
      </c>
      <c r="E1077" s="1" t="str">
        <f>IFERROR(VLOOKUP(ТабПозиции[[#This Row],[orderNum]],ТабЗаказы[#Data],MATCH(E$7,ТабЗаказы[#Headers],0),0),"")</f>
        <v/>
      </c>
      <c r="F1077" s="16" t="s">
        <v>1584</v>
      </c>
      <c r="G1077" s="40" t="s">
        <v>545</v>
      </c>
      <c r="I1077" s="18">
        <v>45583</v>
      </c>
      <c r="J1077" s="10">
        <v>1</v>
      </c>
      <c r="K1077" s="10">
        <v>885</v>
      </c>
      <c r="L1077">
        <v>885</v>
      </c>
      <c r="M1077" s="10">
        <v>932</v>
      </c>
      <c r="N1077">
        <f t="shared" si="20"/>
        <v>932</v>
      </c>
      <c r="P10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Row],[orderNum]],ТабПозиции[orderSumm])&gt;1500),ABS(N1077*VLOOKUP(ТабПозиции[[#This Row],[orderNum]],ТабЗаказы[#Data],MATCH("Percent",ТабЗаказы[#Headers],0),0))/100,200/COUNTIF(ТабПозиции[orderNum],ТабПозиции[[#This Row],[orderNum]])),0),"")</f>
        <v>93</v>
      </c>
      <c r="Q1077">
        <f>IF(OR(ТабПозиции[[#This Row],[item]]="По штрихкоду",ТабПозиции[[#This Row],[item]]="Посылка"),ТабПозиции[[#This Row],[deliverySumm]]+ТабПозиции[[#This Row],[deliveryPost]],SUM(N1077:P1077))</f>
        <v>1025</v>
      </c>
      <c r="R1077" s="41">
        <v>1025</v>
      </c>
      <c r="S1077" s="46">
        <f>ТабПозиции[[#This Row],[totalSumm]]-ТабПозиции[[#This Row],[payment]]</f>
        <v>0</v>
      </c>
      <c r="T1077" s="18" t="s">
        <v>970</v>
      </c>
      <c r="U1077" s="40" t="s">
        <v>545</v>
      </c>
      <c r="V1077" s="40" t="s">
        <v>545</v>
      </c>
      <c r="W1077" s="40" t="s">
        <v>545</v>
      </c>
      <c r="X1077" s="3"/>
      <c r="Y1077"/>
    </row>
    <row r="1078" spans="1:25" hidden="1" x14ac:dyDescent="0.25">
      <c r="A1078" s="10">
        <v>267</v>
      </c>
      <c r="B1078" s="1">
        <f>IFERROR(VLOOKUP(ТабПозиции[[#This Row],[orderNum]],ТабЗаказы[#Data],MATCH(B$7,ТабЗаказы[#Headers],0),0),"")</f>
        <v>45580</v>
      </c>
      <c r="C1078" t="str">
        <f>MONTH(ТабПозиции[[#This Row],[date]])&amp;"/"&amp;YEAR(ТабПозиции[[#This Row],[date]])</f>
        <v>10/2024</v>
      </c>
      <c r="D1078" s="1" t="str">
        <f>IFERROR(VLOOKUP(ТабПозиции[[#This Row],[orderNum]],ТабЗаказы[#Data],MATCH(D$7,ТабЗаказы[#Headers],0),0),"")</f>
        <v/>
      </c>
      <c r="E1078" s="1" t="str">
        <f>IFERROR(VLOOKUP(ТабПозиции[[#This Row],[orderNum]],ТабЗаказы[#Data],MATCH(E$7,ТабЗаказы[#Headers],0),0),"")</f>
        <v/>
      </c>
      <c r="F1078" s="16" t="s">
        <v>668</v>
      </c>
      <c r="G1078" s="40" t="s">
        <v>545</v>
      </c>
      <c r="I1078" s="18">
        <v>45583</v>
      </c>
      <c r="J1078" s="10">
        <v>1</v>
      </c>
      <c r="K1078" s="10">
        <v>359</v>
      </c>
      <c r="L1078">
        <v>359</v>
      </c>
      <c r="M1078" s="10">
        <v>378</v>
      </c>
      <c r="N1078">
        <f t="shared" si="20"/>
        <v>378</v>
      </c>
      <c r="P10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Row],[orderNum]],ТабПозиции[orderSumm])&gt;1500),ABS(N1078*VLOOKUP(ТабПозиции[[#This Row],[orderNum]],ТабЗаказы[#Data],MATCH("Percent",ТабЗаказы[#Headers],0),0))/100,200/COUNTIF(ТабПозиции[orderNum],ТабПозиции[[#This Row],[orderNum]])),0),"")</f>
        <v>38</v>
      </c>
      <c r="Q1078">
        <f>IF(OR(ТабПозиции[[#This Row],[item]]="По штрихкоду",ТабПозиции[[#This Row],[item]]="Посылка"),ТабПозиции[[#This Row],[deliverySumm]]+ТабПозиции[[#This Row],[deliveryPost]],SUM(N1078:P1078))</f>
        <v>416</v>
      </c>
      <c r="R1078" s="41">
        <v>416</v>
      </c>
      <c r="S1078" s="46">
        <f>ТабПозиции[[#This Row],[totalSumm]]-ТабПозиции[[#This Row],[payment]]</f>
        <v>0</v>
      </c>
      <c r="T1078" s="18" t="s">
        <v>970</v>
      </c>
      <c r="U1078" s="40" t="s">
        <v>545</v>
      </c>
      <c r="V1078" s="40" t="s">
        <v>545</v>
      </c>
      <c r="W1078" s="40" t="s">
        <v>545</v>
      </c>
      <c r="X1078" s="3"/>
      <c r="Y1078"/>
    </row>
    <row r="1079" spans="1:25" hidden="1" x14ac:dyDescent="0.25">
      <c r="A1079" s="10">
        <v>267</v>
      </c>
      <c r="B1079" s="1">
        <f>IFERROR(VLOOKUP(ТабПозиции[[#This Row],[orderNum]],ТабЗаказы[#Data],MATCH(B$7,ТабЗаказы[#Headers],0),0),"")</f>
        <v>45580</v>
      </c>
      <c r="C1079" t="str">
        <f>MONTH(ТабПозиции[[#This Row],[date]])&amp;"/"&amp;YEAR(ТабПозиции[[#This Row],[date]])</f>
        <v>10/2024</v>
      </c>
      <c r="D1079" s="1" t="str">
        <f>IFERROR(VLOOKUP(ТабПозиции[[#This Row],[orderNum]],ТабЗаказы[#Data],MATCH(D$7,ТабЗаказы[#Headers],0),0),"")</f>
        <v/>
      </c>
      <c r="E1079" s="1" t="str">
        <f>IFERROR(VLOOKUP(ТабПозиции[[#This Row],[orderNum]],ТабЗаказы[#Data],MATCH(E$7,ТабЗаказы[#Headers],0),0),"")</f>
        <v/>
      </c>
      <c r="F1079" s="16" t="s">
        <v>1585</v>
      </c>
      <c r="G1079" s="40" t="s">
        <v>545</v>
      </c>
      <c r="I1079" s="18">
        <v>45583</v>
      </c>
      <c r="J1079" s="10">
        <v>1</v>
      </c>
      <c r="K1079" s="10">
        <v>414</v>
      </c>
      <c r="L1079">
        <v>414</v>
      </c>
      <c r="M1079" s="10">
        <v>436</v>
      </c>
      <c r="N1079">
        <f t="shared" si="20"/>
        <v>436</v>
      </c>
      <c r="P10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Row],[orderNum]],ТабПозиции[orderSumm])&gt;1500),ABS(N1079*VLOOKUP(ТабПозиции[[#This Row],[orderNum]],ТабЗаказы[#Data],MATCH("Percent",ТабЗаказы[#Headers],0),0))/100,200/COUNTIF(ТабПозиции[orderNum],ТабПозиции[[#This Row],[orderNum]])),0),"")</f>
        <v>44</v>
      </c>
      <c r="Q1079">
        <f>IF(OR(ТабПозиции[[#This Row],[item]]="По штрихкоду",ТабПозиции[[#This Row],[item]]="Посылка"),ТабПозиции[[#This Row],[deliverySumm]]+ТабПозиции[[#This Row],[deliveryPost]],SUM(N1079:P1079))</f>
        <v>480</v>
      </c>
      <c r="R1079" s="41">
        <v>480</v>
      </c>
      <c r="S1079" s="46">
        <f>ТабПозиции[[#This Row],[totalSumm]]-ТабПозиции[[#This Row],[payment]]</f>
        <v>0</v>
      </c>
      <c r="T1079" s="18" t="s">
        <v>970</v>
      </c>
      <c r="U1079" s="40" t="s">
        <v>545</v>
      </c>
      <c r="V1079" s="40" t="s">
        <v>545</v>
      </c>
      <c r="W1079" s="40" t="s">
        <v>545</v>
      </c>
      <c r="X1079" s="3"/>
      <c r="Y1079"/>
    </row>
    <row r="1080" spans="1:25" hidden="1" x14ac:dyDescent="0.25">
      <c r="A1080" s="10">
        <v>267</v>
      </c>
      <c r="B1080" s="1">
        <f>IFERROR(VLOOKUP(ТабПозиции[[#This Row],[orderNum]],ТабЗаказы[#Data],MATCH(B$7,ТабЗаказы[#Headers],0),0),"")</f>
        <v>45580</v>
      </c>
      <c r="C1080" t="str">
        <f>MONTH(ТабПозиции[[#This Row],[date]])&amp;"/"&amp;YEAR(ТабПозиции[[#This Row],[date]])</f>
        <v>10/2024</v>
      </c>
      <c r="D1080" s="1" t="str">
        <f>IFERROR(VLOOKUP(ТабПозиции[[#This Row],[orderNum]],ТабЗаказы[#Data],MATCH(D$7,ТабЗаказы[#Headers],0),0),"")</f>
        <v/>
      </c>
      <c r="E1080" s="1" t="str">
        <f>IFERROR(VLOOKUP(ТабПозиции[[#This Row],[orderNum]],ТабЗаказы[#Data],MATCH(E$7,ТабЗаказы[#Headers],0),0),"")</f>
        <v/>
      </c>
      <c r="F1080" s="16" t="s">
        <v>1586</v>
      </c>
      <c r="G1080" s="40" t="s">
        <v>545</v>
      </c>
      <c r="I1080" s="18">
        <v>45587</v>
      </c>
      <c r="J1080" s="10">
        <v>1</v>
      </c>
      <c r="K1080" s="10">
        <v>628</v>
      </c>
      <c r="L1080">
        <v>628</v>
      </c>
      <c r="M1080" s="10">
        <v>662</v>
      </c>
      <c r="N1080">
        <f t="shared" si="20"/>
        <v>662</v>
      </c>
      <c r="P10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Row],[orderNum]],ТабПозиции[orderSumm])&gt;1500),ABS(N1080*VLOOKUP(ТабПозиции[[#This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080">
        <f>IF(OR(ТабПозиции[[#This Row],[item]]="По штрихкоду",ТабПозиции[[#This Row],[item]]="Посылка"),ТабПозиции[[#This Row],[deliverySumm]]+ТабПозиции[[#This Row],[deliveryPost]],SUM(N1080:P1080))</f>
        <v>728</v>
      </c>
      <c r="R1080" s="41">
        <v>728</v>
      </c>
      <c r="S1080" s="46">
        <f>ТабПозиции[[#This Row],[totalSumm]]-ТабПозиции[[#This Row],[payment]]</f>
        <v>0</v>
      </c>
      <c r="T1080" s="18" t="s">
        <v>970</v>
      </c>
      <c r="U1080" s="40" t="s">
        <v>545</v>
      </c>
      <c r="V1080" s="40" t="s">
        <v>545</v>
      </c>
      <c r="W1080" s="40" t="s">
        <v>545</v>
      </c>
      <c r="X1080" s="3"/>
      <c r="Y1080"/>
    </row>
    <row r="1081" spans="1:25" hidden="1" x14ac:dyDescent="0.25">
      <c r="A1081" s="10">
        <v>267</v>
      </c>
      <c r="B1081" s="1">
        <f>IFERROR(VLOOKUP(ТабПозиции[[#This Row],[orderNum]],ТабЗаказы[#Data],MATCH(B$7,ТабЗаказы[#Headers],0),0),"")</f>
        <v>45580</v>
      </c>
      <c r="C1081" t="str">
        <f>MONTH(ТабПозиции[[#This Row],[date]])&amp;"/"&amp;YEAR(ТабПозиции[[#This Row],[date]])</f>
        <v>10/2024</v>
      </c>
      <c r="D1081" s="1" t="str">
        <f>IFERROR(VLOOKUP(ТабПозиции[[#This Row],[orderNum]],ТабЗаказы[#Data],MATCH(D$7,ТабЗаказы[#Headers],0),0),"")</f>
        <v/>
      </c>
      <c r="E1081" s="1" t="str">
        <f>IFERROR(VLOOKUP(ТабПозиции[[#This Row],[orderNum]],ТабЗаказы[#Data],MATCH(E$7,ТабЗаказы[#Headers],0),0),"")</f>
        <v/>
      </c>
      <c r="F1081" s="16" t="s">
        <v>1587</v>
      </c>
      <c r="G1081" s="40" t="s">
        <v>545</v>
      </c>
      <c r="I1081" s="18">
        <v>45583</v>
      </c>
      <c r="J1081" s="10">
        <v>1</v>
      </c>
      <c r="K1081" s="10">
        <v>319</v>
      </c>
      <c r="L1081">
        <v>319</v>
      </c>
      <c r="M1081" s="10">
        <v>336</v>
      </c>
      <c r="N1081">
        <f t="shared" si="20"/>
        <v>336</v>
      </c>
      <c r="P10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Row],[orderNum]],ТабПозиции[orderSumm])&gt;1500),ABS(N1081*VLOOKUP(ТабПозиции[[#This Row],[orderNum]],ТабЗаказы[#Data],MATCH("Percent",ТабЗаказы[#Headers],0),0))/100,200/COUNTIF(ТабПозиции[orderNum],ТабПозиции[[#This Row],[orderNum]])),0),"")</f>
        <v>34</v>
      </c>
      <c r="Q1081">
        <f>IF(OR(ТабПозиции[[#This Row],[item]]="По штрихкоду",ТабПозиции[[#This Row],[item]]="Посылка"),ТабПозиции[[#This Row],[deliverySumm]]+ТабПозиции[[#This Row],[deliveryPost]],SUM(N1081:P1081))</f>
        <v>370</v>
      </c>
      <c r="R1081" s="41">
        <v>370</v>
      </c>
      <c r="S1081" s="46">
        <f>ТабПозиции[[#This Row],[totalSumm]]-ТабПозиции[[#This Row],[payment]]</f>
        <v>0</v>
      </c>
      <c r="T1081" s="18" t="s">
        <v>970</v>
      </c>
      <c r="U1081" s="40" t="s">
        <v>545</v>
      </c>
      <c r="V1081" s="40" t="s">
        <v>545</v>
      </c>
      <c r="W1081" s="40" t="s">
        <v>545</v>
      </c>
      <c r="X1081" s="3"/>
      <c r="Y1081"/>
    </row>
    <row r="1082" spans="1:25" hidden="1" x14ac:dyDescent="0.25">
      <c r="A1082" s="10">
        <v>267</v>
      </c>
      <c r="B1082" s="1">
        <f>IFERROR(VLOOKUP(ТабПозиции[[#This Row],[orderNum]],ТабЗаказы[#Data],MATCH(B$7,ТабЗаказы[#Headers],0),0),"")</f>
        <v>45580</v>
      </c>
      <c r="C1082" t="str">
        <f>MONTH(ТабПозиции[[#This Row],[date]])&amp;"/"&amp;YEAR(ТабПозиции[[#This Row],[date]])</f>
        <v>10/2024</v>
      </c>
      <c r="D1082" s="1" t="str">
        <f>IFERROR(VLOOKUP(ТабПозиции[[#This Row],[orderNum]],ТабЗаказы[#Data],MATCH(D$7,ТабЗаказы[#Headers],0),0),"")</f>
        <v/>
      </c>
      <c r="E1082" s="1" t="str">
        <f>IFERROR(VLOOKUP(ТабПозиции[[#This Row],[orderNum]],ТабЗаказы[#Data],MATCH(E$7,ТабЗаказы[#Headers],0),0),"")</f>
        <v/>
      </c>
      <c r="F1082" s="16" t="s">
        <v>1588</v>
      </c>
      <c r="G1082" s="40" t="s">
        <v>545</v>
      </c>
      <c r="I1082" s="18">
        <v>45583</v>
      </c>
      <c r="J1082" s="10">
        <v>1</v>
      </c>
      <c r="K1082" s="10">
        <v>316</v>
      </c>
      <c r="L1082">
        <v>316</v>
      </c>
      <c r="M1082" s="10">
        <v>333</v>
      </c>
      <c r="N1082">
        <f t="shared" si="20"/>
        <v>333</v>
      </c>
      <c r="P10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Row],[orderNum]],ТабПозиции[orderSumm])&gt;1500),ABS(N1082*VLOOKUP(ТабПозиции[[#This Row],[orderNum]],ТабЗаказы[#Data],MATCH("Percent",ТабЗаказы[#Headers],0),0))/100,200/COUNTIF(ТабПозиции[orderNum],ТабПозиции[[#This Row],[orderNum]])),0),"")</f>
        <v>33</v>
      </c>
      <c r="Q1082">
        <f>IF(OR(ТабПозиции[[#This Row],[item]]="По штрихкоду",ТабПозиции[[#This Row],[item]]="Посылка"),ТабПозиции[[#This Row],[deliverySumm]]+ТабПозиции[[#This Row],[deliveryPost]],SUM(N1082:P1082))</f>
        <v>366</v>
      </c>
      <c r="R1082" s="41">
        <v>366</v>
      </c>
      <c r="S1082" s="46">
        <f>ТабПозиции[[#This Row],[totalSumm]]-ТабПозиции[[#This Row],[payment]]</f>
        <v>0</v>
      </c>
      <c r="T1082" s="18" t="s">
        <v>970</v>
      </c>
      <c r="U1082" s="40" t="s">
        <v>545</v>
      </c>
      <c r="V1082" s="40" t="s">
        <v>545</v>
      </c>
      <c r="W1082" s="40" t="s">
        <v>545</v>
      </c>
      <c r="X1082" s="3"/>
      <c r="Y1082"/>
    </row>
    <row r="1083" spans="1:25" hidden="1" x14ac:dyDescent="0.25">
      <c r="A1083" s="10">
        <v>296</v>
      </c>
      <c r="B1083" s="1">
        <f>IFERROR(VLOOKUP(ТабПозиции[[#This Row],[orderNum]],ТабЗаказы[#Data],MATCH(B$7,ТабЗаказы[#Headers],0),0),"")</f>
        <v>45583</v>
      </c>
      <c r="C1083" t="str">
        <f>MONTH(ТабПозиции[[#This Row],[date]])&amp;"/"&amp;YEAR(ТабПозиции[[#This Row],[date]])</f>
        <v>10/2024</v>
      </c>
      <c r="D1083" s="1" t="str">
        <f>IFERROR(VLOOKUP(ТабПозиции[[#This Row],[orderNum]],ТабЗаказы[#Data],MATCH(D$7,ТабЗаказы[#Headers],0),0),"")</f>
        <v/>
      </c>
      <c r="E1083" s="1" t="str">
        <f>IFERROR(VLOOKUP(ТабПозиции[[#This Row],[orderNum]],ТабЗаказы[#Data],MATCH(E$7,ТабЗаказы[#Headers],0),0),"")</f>
        <v/>
      </c>
      <c r="F1083" s="10" t="s">
        <v>32</v>
      </c>
      <c r="G1083" s="40" t="s">
        <v>545</v>
      </c>
      <c r="I1083" s="18">
        <v>45583</v>
      </c>
      <c r="J1083" s="10">
        <v>1</v>
      </c>
      <c r="K1083" s="10">
        <f>7542+741</f>
        <v>8283</v>
      </c>
      <c r="L1083">
        <v>8283</v>
      </c>
      <c r="M1083" s="10">
        <f>7542+741</f>
        <v>8283</v>
      </c>
      <c r="N1083">
        <f t="shared" si="20"/>
        <v>8283</v>
      </c>
      <c r="P10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Row],[orderNum]],ТабПозиции[orderSumm])&gt;1500),ABS(N1083*VLOOKUP(ТабПозиции[[#This Row],[orderNum]],ТабЗаказы[#Data],MATCH("Percent",ТабЗаказы[#Headers],0),0))/100,200/COUNTIF(ТабПозиции[orderNum],ТабПозиции[[#This Row],[orderNum]])),0),"")</f>
        <v>1242</v>
      </c>
      <c r="Q1083">
        <f>IF(OR(ТабПозиции[[#This Row],[item]]="По штрихкоду",ТабПозиции[[#This Row],[item]]="Посылка"),ТабПозиции[[#This Row],[deliverySumm]]+ТабПозиции[[#This Row],[deliveryPost]],SUM(N1083:P1083))</f>
        <v>1242</v>
      </c>
      <c r="R1083" s="41">
        <v>1242</v>
      </c>
      <c r="S1083" s="46">
        <f>ТабПозиции[[#This Row],[totalSumm]]-ТабПозиции[[#This Row],[payment]]</f>
        <v>0</v>
      </c>
      <c r="T1083" s="18" t="s">
        <v>970</v>
      </c>
      <c r="U1083" s="40" t="s">
        <v>545</v>
      </c>
      <c r="V1083" s="40" t="s">
        <v>545</v>
      </c>
      <c r="W1083" s="40" t="s">
        <v>545</v>
      </c>
      <c r="X1083" s="3"/>
      <c r="Y1083"/>
    </row>
    <row r="1084" spans="1:25" hidden="1" x14ac:dyDescent="0.25">
      <c r="A1084" s="10">
        <v>297</v>
      </c>
      <c r="B1084" s="1">
        <f>IFERROR(VLOOKUP(ТабПозиции[[#This Row],[orderNum]],ТабЗаказы[#Data],MATCH(B$7,ТабЗаказы[#Headers],0),0),"")</f>
        <v>45583</v>
      </c>
      <c r="C1084" t="str">
        <f>MONTH(ТабПозиции[[#This Row],[date]])&amp;"/"&amp;YEAR(ТабПозиции[[#This Row],[date]])</f>
        <v>10/2024</v>
      </c>
      <c r="D1084" s="1" t="str">
        <f>IFERROR(VLOOKUP(ТабПозиции[[#This Row],[orderNum]],ТабЗаказы[#Data],MATCH(D$7,ТабЗаказы[#Headers],0),0),"")</f>
        <v/>
      </c>
      <c r="E1084" s="1" t="str">
        <f>IFERROR(VLOOKUP(ТабПозиции[[#This Row],[orderNum]],ТабЗаказы[#Data],MATCH(E$7,ТабЗаказы[#Headers],0),0),"")</f>
        <v/>
      </c>
      <c r="F1084" s="10" t="s">
        <v>32</v>
      </c>
      <c r="G1084" s="40" t="s">
        <v>545</v>
      </c>
      <c r="I1084" s="18">
        <v>45583</v>
      </c>
      <c r="J1084" s="10">
        <v>1</v>
      </c>
      <c r="K1084" s="10">
        <v>1589</v>
      </c>
      <c r="L1084">
        <v>1589</v>
      </c>
      <c r="M1084" s="10">
        <v>1589</v>
      </c>
      <c r="N1084">
        <f t="shared" si="20"/>
        <v>1589</v>
      </c>
      <c r="P10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Row],[orderNum]],ТабПозиции[orderSumm])&gt;1500),ABS(N1084*VLOOKUP(ТабПозиции[[#This Row],[orderNum]],ТабЗаказы[#Data],MATCH("Percent",ТабЗаказы[#Headers],0),0))/100,200/COUNTIF(ТабПозиции[orderNum],ТабПозиции[[#This Row],[orderNum]])),0),"")</f>
        <v>238</v>
      </c>
      <c r="Q1084">
        <f>IF(OR(ТабПозиции[[#This Row],[item]]="По штрихкоду",ТабПозиции[[#This Row],[item]]="Посылка"),ТабПозиции[[#This Row],[deliverySumm]]+ТабПозиции[[#This Row],[deliveryPost]],SUM(N1084:P1084))</f>
        <v>238</v>
      </c>
      <c r="R1084" s="41">
        <v>238</v>
      </c>
      <c r="S1084" s="46">
        <f>ТабПозиции[[#This Row],[totalSumm]]-ТабПозиции[[#This Row],[payment]]</f>
        <v>0</v>
      </c>
      <c r="T1084" s="18" t="s">
        <v>970</v>
      </c>
      <c r="U1084" s="40" t="s">
        <v>545</v>
      </c>
      <c r="V1084" s="40" t="s">
        <v>545</v>
      </c>
      <c r="W1084" s="40" t="s">
        <v>545</v>
      </c>
      <c r="X1084" s="3"/>
      <c r="Y1084"/>
    </row>
    <row r="1085" spans="1:25" hidden="1" x14ac:dyDescent="0.25">
      <c r="A1085" s="10">
        <v>298</v>
      </c>
      <c r="B1085" s="1">
        <f>IFERROR(VLOOKUP(ТабПозиции[[#This Row],[orderNum]],ТабЗаказы[#Data],MATCH(B$7,ТабЗаказы[#Headers],0),0),"")</f>
        <v>45583</v>
      </c>
      <c r="C1085" t="str">
        <f>MONTH(ТабПозиции[[#This Row],[date]])&amp;"/"&amp;YEAR(ТабПозиции[[#This Row],[date]])</f>
        <v>10/2024</v>
      </c>
      <c r="D1085" s="1" t="str">
        <f>IFERROR(VLOOKUP(ТабПозиции[[#This Row],[orderNum]],ТабЗаказы[#Data],MATCH(D$7,ТабЗаказы[#Headers],0),0),"")</f>
        <v/>
      </c>
      <c r="E1085" s="1" t="str">
        <f>IFERROR(VLOOKUP(ТабПозиции[[#This Row],[orderNum]],ТабЗаказы[#Data],MATCH(E$7,ТабЗаказы[#Headers],0),0),"")</f>
        <v/>
      </c>
      <c r="F1085" s="10" t="s">
        <v>32</v>
      </c>
      <c r="G1085" s="40" t="s">
        <v>545</v>
      </c>
      <c r="I1085" s="18">
        <v>45583</v>
      </c>
      <c r="J1085" s="10">
        <v>1</v>
      </c>
      <c r="K1085" s="10">
        <f>3055+134</f>
        <v>3189</v>
      </c>
      <c r="L1085">
        <v>3189</v>
      </c>
      <c r="M1085" s="10">
        <f>3055+134</f>
        <v>3189</v>
      </c>
      <c r="N1085">
        <f t="shared" si="20"/>
        <v>3189</v>
      </c>
      <c r="P10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Row],[orderNum]],ТабПозиции[orderSumm])&gt;1500),ABS(N1085*VLOOKUP(ТабПозиции[[#This Row],[orderNum]],ТабЗаказы[#Data],MATCH("Percent",ТабЗаказы[#Headers],0),0))/100,200/COUNTIF(ТабПозиции[orderNum],ТабПозиции[[#This Row],[orderNum]])),0),"")</f>
        <v>478</v>
      </c>
      <c r="Q1085">
        <f>IF(OR(ТабПозиции[[#This Row],[item]]="По штрихкоду",ТабПозиции[[#This Row],[item]]="Посылка"),ТабПозиции[[#This Row],[deliverySumm]]+ТабПозиции[[#This Row],[deliveryPost]],SUM(N1085:P1085))</f>
        <v>478</v>
      </c>
      <c r="R1085" s="41">
        <v>478</v>
      </c>
      <c r="S1085" s="46">
        <f>ТабПозиции[[#This Row],[totalSumm]]-ТабПозиции[[#This Row],[payment]]</f>
        <v>0</v>
      </c>
      <c r="T1085" s="18" t="s">
        <v>970</v>
      </c>
      <c r="U1085" s="40" t="s">
        <v>545</v>
      </c>
      <c r="V1085" s="40" t="s">
        <v>545</v>
      </c>
      <c r="W1085" s="40" t="s">
        <v>545</v>
      </c>
      <c r="X1085" s="3"/>
      <c r="Y1085"/>
    </row>
    <row r="1086" spans="1:25" hidden="1" x14ac:dyDescent="0.25">
      <c r="A1086" s="10">
        <v>299</v>
      </c>
      <c r="B1086" s="1">
        <f>IFERROR(VLOOKUP(ТабПозиции[[#This Row],[orderNum]],ТабЗаказы[#Data],MATCH(B$7,ТабЗаказы[#Headers],0),0),"")</f>
        <v>45584</v>
      </c>
      <c r="C1086" t="str">
        <f>MONTH(ТабПозиции[[#This Row],[date]])&amp;"/"&amp;YEAR(ТабПозиции[[#This Row],[date]])</f>
        <v>10/2024</v>
      </c>
      <c r="D1086" s="1" t="str">
        <f>IFERROR(VLOOKUP(ТабПозиции[[#This Row],[orderNum]],ТабЗаказы[#Data],MATCH(D$7,ТабЗаказы[#Headers],0),0),"")</f>
        <v/>
      </c>
      <c r="E1086" s="1" t="str">
        <f>IFERROR(VLOOKUP(ТабПозиции[[#This Row],[orderNum]],ТабЗаказы[#Data],MATCH(E$7,ТабЗаказы[#Headers],0),0),"")</f>
        <v/>
      </c>
      <c r="F1086" s="16" t="s">
        <v>1593</v>
      </c>
      <c r="G1086" s="40" t="s">
        <v>545</v>
      </c>
      <c r="I1086" s="18">
        <v>45587</v>
      </c>
      <c r="J1086" s="10">
        <v>1</v>
      </c>
      <c r="K1086" s="10">
        <v>1881</v>
      </c>
      <c r="L1086">
        <v>1881</v>
      </c>
      <c r="M1086" s="10">
        <v>2024</v>
      </c>
      <c r="N1086">
        <f t="shared" si="20"/>
        <v>2024</v>
      </c>
      <c r="P10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Row],[orderNum]],ТабПозиции[orderSumm])&gt;1500),ABS(N1086*VLOOKUP(ТабПозиции[[#This Row],[orderNum]],ТабЗаказы[#Data],MATCH("Percent",ТабЗаказы[#Headers],0),0))/100,200/COUNTIF(ТабПозиции[orderNum],ТабПозиции[[#This Row],[orderNum]])),0),"")</f>
        <v>202</v>
      </c>
      <c r="Q1086">
        <f>IF(OR(ТабПозиции[[#This Row],[item]]="По штрихкоду",ТабПозиции[[#This Row],[item]]="Посылка"),ТабПозиции[[#This Row],[deliverySumm]]+ТабПозиции[[#This Row],[deliveryPost]],SUM(N1086:P1086))</f>
        <v>2226</v>
      </c>
      <c r="R1086" s="41">
        <v>2226</v>
      </c>
      <c r="S1086" s="46">
        <f>ТабПозиции[[#This Row],[totalSumm]]-ТабПозиции[[#This Row],[payment]]</f>
        <v>0</v>
      </c>
      <c r="T1086" s="18" t="s">
        <v>960</v>
      </c>
      <c r="U1086" s="40" t="s">
        <v>545</v>
      </c>
      <c r="V1086" s="40" t="s">
        <v>545</v>
      </c>
      <c r="W1086" s="40" t="s">
        <v>545</v>
      </c>
      <c r="X1086" s="3"/>
      <c r="Y1086"/>
    </row>
    <row r="1087" spans="1:25" hidden="1" x14ac:dyDescent="0.25">
      <c r="A1087" s="10">
        <v>299</v>
      </c>
      <c r="B1087" s="1">
        <f>IFERROR(VLOOKUP(ТабПозиции[[#This Row],[orderNum]],ТабЗаказы[#Data],MATCH(B$7,ТабЗаказы[#Headers],0),0),"")</f>
        <v>45584</v>
      </c>
      <c r="C1087" t="str">
        <f>MONTH(ТабПозиции[[#This Row],[date]])&amp;"/"&amp;YEAR(ТабПозиции[[#This Row],[date]])</f>
        <v>10/2024</v>
      </c>
      <c r="D1087" s="1" t="str">
        <f>IFERROR(VLOOKUP(ТабПозиции[[#This Row],[orderNum]],ТабЗаказы[#Data],MATCH(D$7,ТабЗаказы[#Headers],0),0),"")</f>
        <v/>
      </c>
      <c r="E1087" s="1" t="str">
        <f>IFERROR(VLOOKUP(ТабПозиции[[#This Row],[orderNum]],ТабЗаказы[#Data],MATCH(E$7,ТабЗаказы[#Headers],0),0),"")</f>
        <v/>
      </c>
      <c r="F1087" s="16" t="s">
        <v>1595</v>
      </c>
      <c r="G1087" s="40" t="s">
        <v>545</v>
      </c>
      <c r="I1087" s="18">
        <v>45586</v>
      </c>
      <c r="J1087" s="10">
        <v>1</v>
      </c>
      <c r="K1087" s="10">
        <v>1211</v>
      </c>
      <c r="L1087">
        <v>1211</v>
      </c>
      <c r="M1087" s="10">
        <v>1298</v>
      </c>
      <c r="N1087">
        <f t="shared" si="20"/>
        <v>1298</v>
      </c>
      <c r="P10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Row],[orderNum]],ТабПозиции[orderSumm])&gt;1500),ABS(N1087*VLOOKUP(ТабПозиции[[#This Row],[orderNum]],ТабЗаказы[#Data],MATCH("Percent",ТабЗаказы[#Headers],0),0))/100,200/COUNTIF(ТабПозиции[orderNum],ТабПозиции[[#This Row],[orderNum]])),0),"")</f>
        <v>130</v>
      </c>
      <c r="Q1087">
        <f>IF(OR(ТабПозиции[[#This Row],[item]]="По штрихкоду",ТабПозиции[[#This Row],[item]]="Посылка"),ТабПозиции[[#This Row],[deliverySumm]]+ТабПозиции[[#This Row],[deliveryPost]],SUM(N1087:P1087))</f>
        <v>1428</v>
      </c>
      <c r="R1087" s="41">
        <v>1428</v>
      </c>
      <c r="S1087" s="46">
        <f>ТабПозиции[[#This Row],[totalSumm]]-ТабПозиции[[#This Row],[payment]]</f>
        <v>0</v>
      </c>
      <c r="T1087" s="18" t="s">
        <v>960</v>
      </c>
      <c r="U1087" s="40" t="s">
        <v>545</v>
      </c>
      <c r="V1087" s="40" t="s">
        <v>545</v>
      </c>
      <c r="W1087" s="40" t="s">
        <v>545</v>
      </c>
      <c r="X1087" s="3"/>
      <c r="Y1087"/>
    </row>
    <row r="1088" spans="1:25" hidden="1" x14ac:dyDescent="0.25">
      <c r="A1088" s="10">
        <v>299</v>
      </c>
      <c r="B1088" s="1">
        <f>IFERROR(VLOOKUP(ТабПозиции[[#This Row],[orderNum]],ТабЗаказы[#Data],MATCH(B$7,ТабЗаказы[#Headers],0),0),"")</f>
        <v>45584</v>
      </c>
      <c r="C1088" t="str">
        <f>MONTH(ТабПозиции[[#This Row],[date]])&amp;"/"&amp;YEAR(ТабПозиции[[#This Row],[date]])</f>
        <v>10/2024</v>
      </c>
      <c r="D1088" s="1" t="str">
        <f>IFERROR(VLOOKUP(ТабПозиции[[#This Row],[orderNum]],ТабЗаказы[#Data],MATCH(D$7,ТабЗаказы[#Headers],0),0),"")</f>
        <v/>
      </c>
      <c r="E1088" s="1" t="str">
        <f>IFERROR(VLOOKUP(ТабПозиции[[#This Row],[orderNum]],ТабЗаказы[#Data],MATCH(E$7,ТабЗаказы[#Headers],0),0),"")</f>
        <v/>
      </c>
      <c r="F1088" s="16" t="s">
        <v>1594</v>
      </c>
      <c r="G1088" s="40" t="s">
        <v>545</v>
      </c>
      <c r="I1088" s="18">
        <v>45586</v>
      </c>
      <c r="J1088" s="10">
        <v>1</v>
      </c>
      <c r="K1088" s="10">
        <v>1508</v>
      </c>
      <c r="L1088">
        <v>1508</v>
      </c>
      <c r="M1088" s="10">
        <v>1615</v>
      </c>
      <c r="N1088">
        <f t="shared" si="20"/>
        <v>1615</v>
      </c>
      <c r="P10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Row],[orderNum]],ТабПозиции[orderSumm])&gt;1500),ABS(N1088*VLOOKUP(ТабПозиции[[#This Row],[orderNum]],ТабЗаказы[#Data],MATCH("Percent",ТабЗаказы[#Headers],0),0))/100,200/COUNTIF(ТабПозиции[orderNum],ТабПозиции[[#This Row],[orderNum]])),0),"")</f>
        <v>162</v>
      </c>
      <c r="Q1088">
        <f>IF(OR(ТабПозиции[[#This Row],[item]]="По штрихкоду",ТабПозиции[[#This Row],[item]]="Посылка"),ТабПозиции[[#This Row],[deliverySumm]]+ТабПозиции[[#This Row],[deliveryPost]],SUM(N1088:P1088))</f>
        <v>1777</v>
      </c>
      <c r="R1088" s="41">
        <v>1777</v>
      </c>
      <c r="S1088" s="46">
        <f>ТабПозиции[[#This Row],[totalSumm]]-ТабПозиции[[#This Row],[payment]]</f>
        <v>0</v>
      </c>
      <c r="T1088" s="18" t="s">
        <v>960</v>
      </c>
      <c r="U1088" s="40" t="s">
        <v>545</v>
      </c>
      <c r="V1088" s="40" t="s">
        <v>545</v>
      </c>
      <c r="W1088" s="40" t="s">
        <v>545</v>
      </c>
      <c r="X1088" s="3"/>
      <c r="Y1088"/>
    </row>
    <row r="1089" spans="1:25" hidden="1" x14ac:dyDescent="0.25">
      <c r="A1089" s="10">
        <v>299</v>
      </c>
      <c r="B1089" s="1">
        <f>IFERROR(VLOOKUP(ТабПозиции[[#This Row],[orderNum]],ТабЗаказы[#Data],MATCH(B$7,ТабЗаказы[#Headers],0),0),"")</f>
        <v>45584</v>
      </c>
      <c r="C1089" t="str">
        <f>MONTH(ТабПозиции[[#This Row],[date]])&amp;"/"&amp;YEAR(ТабПозиции[[#This Row],[date]])</f>
        <v>10/2024</v>
      </c>
      <c r="D1089" s="1" t="str">
        <f>IFERROR(VLOOKUP(ТабПозиции[[#This Row],[orderNum]],ТабЗаказы[#Data],MATCH(D$7,ТабЗаказы[#Headers],0),0),"")</f>
        <v/>
      </c>
      <c r="E1089" s="1" t="str">
        <f>IFERROR(VLOOKUP(ТабПозиции[[#This Row],[orderNum]],ТабЗаказы[#Data],MATCH(E$7,ТабЗаказы[#Headers],0),0),"")</f>
        <v/>
      </c>
      <c r="F1089" s="16" t="s">
        <v>1597</v>
      </c>
      <c r="G1089" s="40" t="s">
        <v>545</v>
      </c>
      <c r="I1089" s="18">
        <v>45586</v>
      </c>
      <c r="J1089" s="10">
        <v>1</v>
      </c>
      <c r="K1089" s="10">
        <v>1344</v>
      </c>
      <c r="L1089">
        <v>1344</v>
      </c>
      <c r="M1089" s="10">
        <v>1446</v>
      </c>
      <c r="N1089">
        <f t="shared" si="20"/>
        <v>1446</v>
      </c>
      <c r="P10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Row],[orderNum]],ТабПозиции[orderSumm])&gt;1500),ABS(N1089*VLOOKUP(ТабПозиции[[#This Row],[orderNum]],ТабЗаказы[#Data],MATCH("Percent",ТабЗаказы[#Headers],0),0))/100,200/COUNTIF(ТабПозиции[orderNum],ТабПозиции[[#This Row],[orderNum]])),0),"")</f>
        <v>145</v>
      </c>
      <c r="Q1089">
        <f>IF(OR(ТабПозиции[[#This Row],[item]]="По штрихкоду",ТабПозиции[[#This Row],[item]]="Посылка"),ТабПозиции[[#This Row],[deliverySumm]]+ТабПозиции[[#This Row],[deliveryPost]],SUM(N1089:P1089))</f>
        <v>1591</v>
      </c>
      <c r="R1089" s="41">
        <v>1591</v>
      </c>
      <c r="S1089" s="46">
        <f>ТабПозиции[[#This Row],[totalSumm]]-ТабПозиции[[#This Row],[payment]]</f>
        <v>0</v>
      </c>
      <c r="T1089" s="18" t="s">
        <v>960</v>
      </c>
      <c r="U1089" s="40" t="s">
        <v>545</v>
      </c>
      <c r="V1089" s="40" t="s">
        <v>545</v>
      </c>
      <c r="W1089" s="40" t="s">
        <v>545</v>
      </c>
      <c r="X1089" s="3"/>
      <c r="Y1089"/>
    </row>
    <row r="1090" spans="1:25" hidden="1" x14ac:dyDescent="0.25">
      <c r="A1090" s="10">
        <v>299</v>
      </c>
      <c r="B1090" s="1">
        <f>IFERROR(VLOOKUP(ТабПозиции[[#This Row],[orderNum]],ТабЗаказы[#Data],MATCH(B$7,ТабЗаказы[#Headers],0),0),"")</f>
        <v>45584</v>
      </c>
      <c r="C1090" t="str">
        <f>MONTH(ТабПозиции[[#This Row],[date]])&amp;"/"&amp;YEAR(ТабПозиции[[#This Row],[date]])</f>
        <v>10/2024</v>
      </c>
      <c r="D1090" s="1" t="str">
        <f>IFERROR(VLOOKUP(ТабПозиции[[#This Row],[orderNum]],ТабЗаказы[#Data],MATCH(D$7,ТабЗаказы[#Headers],0),0),"")</f>
        <v/>
      </c>
      <c r="E1090" s="1" t="str">
        <f>IFERROR(VLOOKUP(ТабПозиции[[#This Row],[orderNum]],ТабЗаказы[#Data],MATCH(E$7,ТабЗаказы[#Headers],0),0),"")</f>
        <v/>
      </c>
      <c r="F1090" s="16" t="s">
        <v>1596</v>
      </c>
      <c r="G1090" s="40" t="s">
        <v>545</v>
      </c>
      <c r="I1090" s="18">
        <v>45586</v>
      </c>
      <c r="J1090" s="10">
        <v>1</v>
      </c>
      <c r="K1090" s="10">
        <v>900</v>
      </c>
      <c r="L1090">
        <v>900</v>
      </c>
      <c r="M1090" s="10">
        <v>968</v>
      </c>
      <c r="N1090">
        <f t="shared" si="20"/>
        <v>968</v>
      </c>
      <c r="P10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Row],[orderNum]],ТабПозиции[orderSumm])&gt;1500),ABS(N1090*VLOOKUP(ТабПозиции[[#This Row],[orderNum]],ТабЗаказы[#Data],MATCH("Percent",ТабЗаказы[#Headers],0),0))/100,200/COUNTIF(ТабПозиции[orderNum],ТабПозиции[[#This Row],[orderNum]])),0),"")</f>
        <v>97</v>
      </c>
      <c r="Q1090">
        <f>IF(OR(ТабПозиции[[#This Row],[item]]="По штрихкоду",ТабПозиции[[#This Row],[item]]="Посылка"),ТабПозиции[[#This Row],[deliverySumm]]+ТабПозиции[[#This Row],[deliveryPost]],SUM(N1090:P1090))</f>
        <v>1065</v>
      </c>
      <c r="R1090" s="41">
        <v>1065</v>
      </c>
      <c r="S1090" s="46">
        <f>ТабПозиции[[#This Row],[totalSumm]]-ТабПозиции[[#This Row],[payment]]</f>
        <v>0</v>
      </c>
      <c r="T1090" s="18" t="s">
        <v>960</v>
      </c>
      <c r="U1090" s="40" t="s">
        <v>545</v>
      </c>
      <c r="V1090" s="40" t="s">
        <v>545</v>
      </c>
      <c r="W1090" s="40" t="s">
        <v>545</v>
      </c>
      <c r="X1090" s="3"/>
      <c r="Y1090"/>
    </row>
    <row r="1091" spans="1:25" hidden="1" x14ac:dyDescent="0.25">
      <c r="A1091" s="10">
        <v>300</v>
      </c>
      <c r="B1091" s="1">
        <f>IFERROR(VLOOKUP(ТабПозиции[[#This Row],[orderNum]],ТабЗаказы[#Data],MATCH(B$7,ТабЗаказы[#Headers],0),0),"")</f>
        <v>45584</v>
      </c>
      <c r="C1091" t="str">
        <f>MONTH(ТабПозиции[[#This Row],[date]])&amp;"/"&amp;YEAR(ТабПозиции[[#This Row],[date]])</f>
        <v>10/2024</v>
      </c>
      <c r="D1091" s="1" t="str">
        <f>IFERROR(VLOOKUP(ТабПозиции[[#This Row],[orderNum]],ТабЗаказы[#Data],MATCH(D$7,ТабЗаказы[#Headers],0),0),"")</f>
        <v/>
      </c>
      <c r="E1091" s="1" t="str">
        <f>IFERROR(VLOOKUP(ТабПозиции[[#This Row],[orderNum]],ТабЗаказы[#Data],MATCH(E$7,ТабЗаказы[#Headers],0),0),"")</f>
        <v/>
      </c>
      <c r="F1091" s="16" t="s">
        <v>771</v>
      </c>
      <c r="G1091" s="40" t="s">
        <v>545</v>
      </c>
      <c r="I1091" s="18">
        <v>45585</v>
      </c>
      <c r="J1091" s="10">
        <v>1</v>
      </c>
      <c r="K1091" s="10">
        <v>301</v>
      </c>
      <c r="L1091">
        <v>301</v>
      </c>
      <c r="M1091" s="10">
        <v>341</v>
      </c>
      <c r="N1091">
        <f t="shared" si="20"/>
        <v>341</v>
      </c>
      <c r="P10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Row],[orderNum]],ТабПозиции[orderSumm])&gt;1500),ABS(N1091*VLOOKUP(ТабПозиции[[#This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091">
        <f>IF(OR(ТабПозиции[[#This Row],[item]]="По штрихкоду",ТабПозиции[[#This Row],[item]]="Посылка"),ТабПозиции[[#This Row],[deliverySumm]]+ТабПозиции[[#This Row],[deliveryPost]],SUM(N1091:P1091))</f>
        <v>541</v>
      </c>
      <c r="R1091" s="41">
        <v>541</v>
      </c>
      <c r="S1091" s="46">
        <f>ТабПозиции[[#This Row],[totalSumm]]-ТабПозиции[[#This Row],[payment]]</f>
        <v>0</v>
      </c>
      <c r="T1091" s="18" t="s">
        <v>960</v>
      </c>
      <c r="U1091" s="40" t="s">
        <v>545</v>
      </c>
      <c r="V1091" s="40" t="s">
        <v>545</v>
      </c>
      <c r="W1091" s="40" t="s">
        <v>545</v>
      </c>
      <c r="X1091" s="3"/>
      <c r="Y1091"/>
    </row>
    <row r="1092" spans="1:25" hidden="1" x14ac:dyDescent="0.25">
      <c r="A1092" s="10">
        <v>302</v>
      </c>
      <c r="B1092" s="1">
        <f>IFERROR(VLOOKUP(ТабПозиции[[#This Row],[orderNum]],ТабЗаказы[#Data],MATCH(B$7,ТабЗаказы[#Headers],0),0),"")</f>
        <v>45584</v>
      </c>
      <c r="C1092" t="str">
        <f>MONTH(ТабПозиции[[#This Row],[date]])&amp;"/"&amp;YEAR(ТабПозиции[[#This Row],[date]])</f>
        <v>10/2024</v>
      </c>
      <c r="D1092" s="1" t="str">
        <f>IFERROR(VLOOKUP(ТабПозиции[[#This Row],[orderNum]],ТабЗаказы[#Data],MATCH(D$7,ТабЗаказы[#Headers],0),0),"")</f>
        <v/>
      </c>
      <c r="E1092" s="1" t="str">
        <f>IFERROR(VLOOKUP(ТабПозиции[[#This Row],[orderNum]],ТабЗаказы[#Data],MATCH(E$7,ТабЗаказы[#Headers],0),0),"")</f>
        <v/>
      </c>
      <c r="F1092" s="16" t="s">
        <v>1599</v>
      </c>
      <c r="G1092" s="40" t="s">
        <v>545</v>
      </c>
      <c r="I1092" s="18">
        <v>45587</v>
      </c>
      <c r="J1092" s="10">
        <v>1</v>
      </c>
      <c r="K1092" s="10">
        <v>500</v>
      </c>
      <c r="L1092">
        <v>500</v>
      </c>
      <c r="M1092" s="10">
        <v>527</v>
      </c>
      <c r="N1092">
        <f t="shared" si="20"/>
        <v>527</v>
      </c>
      <c r="P10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Row],[orderNum]],ТабПозиции[orderSumm])&gt;1500),ABS(N1092*VLOOKUP(ТабПозиции[[#This Row],[orderNum]],ТабЗаказы[#Data],MATCH("Percent",ТабЗаказы[#Headers],0),0))/100,200/COUNTIF(ТабПозиции[orderNum],ТабПозиции[[#This Row],[orderNum]])),0),"")</f>
        <v>79</v>
      </c>
      <c r="Q1092">
        <f>IF(OR(ТабПозиции[[#This Row],[item]]="По штрихкоду",ТабПозиции[[#This Row],[item]]="Посылка"),ТабПозиции[[#This Row],[deliverySumm]]+ТабПозиции[[#This Row],[deliveryPost]],SUM(N1092:P1092))</f>
        <v>606</v>
      </c>
      <c r="R1092" s="41">
        <v>606</v>
      </c>
      <c r="S1092" s="46">
        <f>ТабПозиции[[#This Row],[totalSumm]]-ТабПозиции[[#This Row],[payment]]</f>
        <v>0</v>
      </c>
      <c r="T1092" s="18" t="s">
        <v>970</v>
      </c>
      <c r="U1092" s="40" t="s">
        <v>545</v>
      </c>
      <c r="V1092" s="40" t="s">
        <v>545</v>
      </c>
      <c r="W1092" s="40" t="s">
        <v>545</v>
      </c>
      <c r="X1092" s="3"/>
      <c r="Y1092"/>
    </row>
    <row r="1093" spans="1:25" hidden="1" x14ac:dyDescent="0.25">
      <c r="A1093" s="10">
        <v>302</v>
      </c>
      <c r="B1093" s="1">
        <f>IFERROR(VLOOKUP(ТабПозиции[[#This Row],[orderNum]],ТабЗаказы[#Data],MATCH(B$7,ТабЗаказы[#Headers],0),0),"")</f>
        <v>45584</v>
      </c>
      <c r="C1093" t="str">
        <f>MONTH(ТабПозиции[[#This Row],[date]])&amp;"/"&amp;YEAR(ТабПозиции[[#This Row],[date]])</f>
        <v>10/2024</v>
      </c>
      <c r="D1093" s="1" t="str">
        <f>IFERROR(VLOOKUP(ТабПозиции[[#This Row],[orderNum]],ТабЗаказы[#Data],MATCH(D$7,ТабЗаказы[#Headers],0),0),"")</f>
        <v/>
      </c>
      <c r="E1093" s="1" t="str">
        <f>IFERROR(VLOOKUP(ТабПозиции[[#This Row],[orderNum]],ТабЗаказы[#Data],MATCH(E$7,ТабЗаказы[#Headers],0),0),"")</f>
        <v/>
      </c>
      <c r="F1093" s="16" t="s">
        <v>1600</v>
      </c>
      <c r="G1093" s="40" t="s">
        <v>545</v>
      </c>
      <c r="I1093" s="18">
        <v>45587</v>
      </c>
      <c r="J1093" s="10">
        <v>1</v>
      </c>
      <c r="K1093" s="10">
        <v>128</v>
      </c>
      <c r="L1093">
        <v>128</v>
      </c>
      <c r="M1093" s="10">
        <v>135</v>
      </c>
      <c r="N1093">
        <f t="shared" si="20"/>
        <v>135</v>
      </c>
      <c r="P10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Row],[orderNum]],ТабПозиции[orderSumm])&gt;1500),ABS(N1093*VLOOKUP(ТабПозиции[[#This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093">
        <f>IF(OR(ТабПозиции[[#This Row],[item]]="По штрихкоду",ТабПозиции[[#This Row],[item]]="Посылка"),ТабПозиции[[#This Row],[deliverySumm]]+ТабПозиции[[#This Row],[deliveryPost]],SUM(N1093:P1093))</f>
        <v>155</v>
      </c>
      <c r="R1093" s="41">
        <v>155</v>
      </c>
      <c r="S1093" s="46">
        <f>ТабПозиции[[#This Row],[totalSumm]]-ТабПозиции[[#This Row],[payment]]</f>
        <v>0</v>
      </c>
      <c r="T1093" s="18" t="s">
        <v>970</v>
      </c>
      <c r="U1093" s="40" t="s">
        <v>545</v>
      </c>
      <c r="V1093" s="40" t="s">
        <v>545</v>
      </c>
      <c r="W1093" s="40" t="s">
        <v>545</v>
      </c>
      <c r="X1093" s="3"/>
      <c r="Y1093"/>
    </row>
    <row r="1094" spans="1:25" hidden="1" x14ac:dyDescent="0.25">
      <c r="A1094" s="10">
        <v>302</v>
      </c>
      <c r="B1094" s="1">
        <f>IFERROR(VLOOKUP(ТабПозиции[[#This Row],[orderNum]],ТабЗаказы[#Data],MATCH(B$7,ТабЗаказы[#Headers],0),0),"")</f>
        <v>45584</v>
      </c>
      <c r="C1094" t="str">
        <f>MONTH(ТабПозиции[[#This Row],[date]])&amp;"/"&amp;YEAR(ТабПозиции[[#This Row],[date]])</f>
        <v>10/2024</v>
      </c>
      <c r="D1094" s="1" t="str">
        <f>IFERROR(VLOOKUP(ТабПозиции[[#This Row],[orderNum]],ТабЗаказы[#Data],MATCH(D$7,ТабЗаказы[#Headers],0),0),"")</f>
        <v/>
      </c>
      <c r="E1094" s="1" t="str">
        <f>IFERROR(VLOOKUP(ТабПозиции[[#This Row],[orderNum]],ТабЗаказы[#Data],MATCH(E$7,ТабЗаказы[#Headers],0),0),"")</f>
        <v/>
      </c>
      <c r="F1094" s="16" t="s">
        <v>1601</v>
      </c>
      <c r="G1094" s="40" t="s">
        <v>545</v>
      </c>
      <c r="I1094" s="18">
        <v>45587</v>
      </c>
      <c r="J1094" s="10">
        <v>1</v>
      </c>
      <c r="K1094" s="10">
        <v>420</v>
      </c>
      <c r="L1094">
        <v>420</v>
      </c>
      <c r="M1094" s="10">
        <v>443</v>
      </c>
      <c r="N1094">
        <f t="shared" si="20"/>
        <v>443</v>
      </c>
      <c r="P10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Row],[orderNum]],ТабПозиции[orderSumm])&gt;1500),ABS(N1094*VLOOKUP(ТабПозиции[[#This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094">
        <f>IF(OR(ТабПозиции[[#This Row],[item]]="По штрихкоду",ТабПозиции[[#This Row],[item]]="Посылка"),ТабПозиции[[#This Row],[deliverySumm]]+ТабПозиции[[#This Row],[deliveryPost]],SUM(N1094:P1094))</f>
        <v>509</v>
      </c>
      <c r="R1094" s="41">
        <v>509</v>
      </c>
      <c r="S1094" s="46">
        <f>ТабПозиции[[#This Row],[totalSumm]]-ТабПозиции[[#This Row],[payment]]</f>
        <v>0</v>
      </c>
      <c r="T1094" s="18" t="s">
        <v>970</v>
      </c>
      <c r="U1094" s="40" t="s">
        <v>545</v>
      </c>
      <c r="V1094" s="40" t="s">
        <v>545</v>
      </c>
      <c r="W1094" s="40" t="s">
        <v>545</v>
      </c>
      <c r="X1094" s="3"/>
      <c r="Y1094"/>
    </row>
    <row r="1095" spans="1:25" hidden="1" x14ac:dyDescent="0.25">
      <c r="A1095" s="10">
        <v>302</v>
      </c>
      <c r="B1095" s="1">
        <f>IFERROR(VLOOKUP(ТабПозиции[[#This Row],[orderNum]],ТабЗаказы[#Data],MATCH(B$7,ТабЗаказы[#Headers],0),0),"")</f>
        <v>45584</v>
      </c>
      <c r="C1095" t="str">
        <f>MONTH(ТабПозиции[[#This Row],[date]])&amp;"/"&amp;YEAR(ТабПозиции[[#This Row],[date]])</f>
        <v>10/2024</v>
      </c>
      <c r="D1095" s="1" t="str">
        <f>IFERROR(VLOOKUP(ТабПозиции[[#This Row],[orderNum]],ТабЗаказы[#Data],MATCH(D$7,ТабЗаказы[#Headers],0),0),"")</f>
        <v/>
      </c>
      <c r="E1095" s="1" t="str">
        <f>IFERROR(VLOOKUP(ТабПозиции[[#This Row],[orderNum]],ТабЗаказы[#Data],MATCH(E$7,ТабЗаказы[#Headers],0),0),"")</f>
        <v/>
      </c>
      <c r="F1095" s="16" t="s">
        <v>1602</v>
      </c>
      <c r="G1095" s="40" t="s">
        <v>545</v>
      </c>
      <c r="I1095" s="18">
        <v>45585</v>
      </c>
      <c r="J1095" s="10">
        <v>1</v>
      </c>
      <c r="K1095" s="10">
        <v>176</v>
      </c>
      <c r="L1095">
        <v>176</v>
      </c>
      <c r="M1095" s="10">
        <v>180</v>
      </c>
      <c r="N1095">
        <f t="shared" si="20"/>
        <v>180</v>
      </c>
      <c r="P10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Row],[orderNum]],ТабПозиции[orderSumm])&gt;1500),ABS(N1095*VLOOKUP(ТабПозиции[[#This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095">
        <f>IF(OR(ТабПозиции[[#This Row],[item]]="По штрихкоду",ТабПозиции[[#This Row],[item]]="Посылка"),ТабПозиции[[#This Row],[deliverySumm]]+ТабПозиции[[#This Row],[deliveryPost]],SUM(N1095:P1095))</f>
        <v>207</v>
      </c>
      <c r="R1095" s="41">
        <v>207</v>
      </c>
      <c r="S1095" s="46">
        <f>ТабПозиции[[#This Row],[totalSumm]]-ТабПозиции[[#This Row],[payment]]</f>
        <v>0</v>
      </c>
      <c r="T1095" s="18" t="s">
        <v>960</v>
      </c>
      <c r="U1095" s="40" t="s">
        <v>545</v>
      </c>
      <c r="V1095" s="40" t="s">
        <v>545</v>
      </c>
      <c r="W1095" s="40" t="s">
        <v>545</v>
      </c>
      <c r="X1095" s="3"/>
      <c r="Y1095"/>
    </row>
    <row r="1096" spans="1:25" hidden="1" x14ac:dyDescent="0.25">
      <c r="A1096" s="10">
        <v>302</v>
      </c>
      <c r="B1096" s="1">
        <f>IFERROR(VLOOKUP(ТабПозиции[[#This Row],[orderNum]],ТабЗаказы[#Data],MATCH(B$7,ТабЗаказы[#Headers],0),0),"")</f>
        <v>45584</v>
      </c>
      <c r="C1096" t="str">
        <f>MONTH(ТабПозиции[[#This Row],[date]])&amp;"/"&amp;YEAR(ТабПозиции[[#This Row],[date]])</f>
        <v>10/2024</v>
      </c>
      <c r="D1096" s="1" t="str">
        <f>IFERROR(VLOOKUP(ТабПозиции[[#This Row],[orderNum]],ТабЗаказы[#Data],MATCH(D$7,ТабЗаказы[#Headers],0),0),"")</f>
        <v/>
      </c>
      <c r="E1096" s="1" t="str">
        <f>IFERROR(VLOOKUP(ТабПозиции[[#This Row],[orderNum]],ТабЗаказы[#Data],MATCH(E$7,ТабЗаказы[#Headers],0),0),"")</f>
        <v/>
      </c>
      <c r="F1096" s="16" t="s">
        <v>1603</v>
      </c>
      <c r="G1096" s="40" t="s">
        <v>545</v>
      </c>
      <c r="I1096" s="18">
        <v>45587</v>
      </c>
      <c r="J1096" s="10">
        <v>1</v>
      </c>
      <c r="K1096" s="10">
        <v>286</v>
      </c>
      <c r="L1096">
        <v>286</v>
      </c>
      <c r="M1096" s="10">
        <v>292</v>
      </c>
      <c r="N1096">
        <f t="shared" si="20"/>
        <v>292</v>
      </c>
      <c r="P10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Row],[orderNum]],ТабПозиции[orderSumm])&gt;1500),ABS(N1096*VLOOKUP(ТабПозиции[[#This Row],[orderNum]],ТабЗаказы[#Data],MATCH("Percent",ТабЗаказы[#Headers],0),0))/100,200/COUNTIF(ТабПозиции[orderNum],ТабПозиции[[#This Row],[orderNum]])),0),"")</f>
        <v>44</v>
      </c>
      <c r="Q1096">
        <f>IF(OR(ТабПозиции[[#This Row],[item]]="По штрихкоду",ТабПозиции[[#This Row],[item]]="Посылка"),ТабПозиции[[#This Row],[deliverySumm]]+ТабПозиции[[#This Row],[deliveryPost]],SUM(N1096:P1096))</f>
        <v>336</v>
      </c>
      <c r="R1096" s="41">
        <v>336</v>
      </c>
      <c r="S1096" s="46">
        <f>ТабПозиции[[#This Row],[totalSumm]]-ТабПозиции[[#This Row],[payment]]</f>
        <v>0</v>
      </c>
      <c r="T1096" s="18" t="s">
        <v>960</v>
      </c>
      <c r="U1096" s="40" t="s">
        <v>545</v>
      </c>
      <c r="V1096" s="40" t="s">
        <v>545</v>
      </c>
      <c r="W1096" s="40" t="s">
        <v>545</v>
      </c>
      <c r="X1096" s="3"/>
      <c r="Y1096"/>
    </row>
    <row r="1097" spans="1:25" hidden="1" x14ac:dyDescent="0.25">
      <c r="A1097" s="10">
        <v>302</v>
      </c>
      <c r="B1097" s="1">
        <f>IFERROR(VLOOKUP(ТабПозиции[[#This Row],[orderNum]],ТабЗаказы[#Data],MATCH(B$7,ТабЗаказы[#Headers],0),0),"")</f>
        <v>45584</v>
      </c>
      <c r="C1097" t="str">
        <f>MONTH(ТабПозиции[[#This Row],[date]])&amp;"/"&amp;YEAR(ТабПозиции[[#This Row],[date]])</f>
        <v>10/2024</v>
      </c>
      <c r="D1097" s="1" t="str">
        <f>IFERROR(VLOOKUP(ТабПозиции[[#This Row],[orderNum]],ТабЗаказы[#Data],MATCH(D$7,ТабЗаказы[#Headers],0),0),"")</f>
        <v/>
      </c>
      <c r="E1097" s="1" t="str">
        <f>IFERROR(VLOOKUP(ТабПозиции[[#This Row],[orderNum]],ТабЗаказы[#Data],MATCH(E$7,ТабЗаказы[#Headers],0),0),"")</f>
        <v/>
      </c>
      <c r="F1097" s="16" t="s">
        <v>1604</v>
      </c>
      <c r="G1097" s="40" t="s">
        <v>545</v>
      </c>
      <c r="I1097" s="18">
        <v>45585</v>
      </c>
      <c r="J1097" s="10">
        <v>1</v>
      </c>
      <c r="K1097" s="10">
        <v>411</v>
      </c>
      <c r="L1097">
        <v>411</v>
      </c>
      <c r="M1097" s="10">
        <v>421</v>
      </c>
      <c r="N1097">
        <f t="shared" si="20"/>
        <v>421</v>
      </c>
      <c r="P10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Row],[orderNum]],ТабПозиции[orderSumm])&gt;1500),ABS(N1097*VLOOKUP(ТабПозиции[[#This Row],[orderNum]],ТабЗаказы[#Data],MATCH("Percent",ТабЗаказы[#Headers],0),0))/100,200/COUNTIF(ТабПозиции[orderNum],ТабПозиции[[#This Row],[orderNum]])),0),"")</f>
        <v>63</v>
      </c>
      <c r="Q1097">
        <f>IF(OR(ТабПозиции[[#This Row],[item]]="По штрихкоду",ТабПозиции[[#This Row],[item]]="Посылка"),ТабПозиции[[#This Row],[deliverySumm]]+ТабПозиции[[#This Row],[deliveryPost]],SUM(N1097:P1097))</f>
        <v>484</v>
      </c>
      <c r="R1097" s="41">
        <v>484</v>
      </c>
      <c r="S1097" s="46">
        <f>ТабПозиции[[#This Row],[totalSumm]]-ТабПозиции[[#This Row],[payment]]</f>
        <v>0</v>
      </c>
      <c r="T1097" s="18" t="s">
        <v>960</v>
      </c>
      <c r="U1097" s="40" t="s">
        <v>545</v>
      </c>
      <c r="V1097" s="40" t="s">
        <v>545</v>
      </c>
      <c r="W1097" s="40" t="s">
        <v>545</v>
      </c>
      <c r="X1097" s="3"/>
      <c r="Y1097"/>
    </row>
    <row r="1098" spans="1:25" hidden="1" x14ac:dyDescent="0.25">
      <c r="A1098" s="10">
        <v>302</v>
      </c>
      <c r="B1098" s="1">
        <f>IFERROR(VLOOKUP(ТабПозиции[[#This Row],[orderNum]],ТабЗаказы[#Data],MATCH(B$7,ТабЗаказы[#Headers],0),0),"")</f>
        <v>45584</v>
      </c>
      <c r="C1098" t="str">
        <f>MONTH(ТабПозиции[[#This Row],[date]])&amp;"/"&amp;YEAR(ТабПозиции[[#This Row],[date]])</f>
        <v>10/2024</v>
      </c>
      <c r="D1098" s="1" t="str">
        <f>IFERROR(VLOOKUP(ТабПозиции[[#This Row],[orderNum]],ТабЗаказы[#Data],MATCH(D$7,ТабЗаказы[#Headers],0),0),"")</f>
        <v/>
      </c>
      <c r="E1098" s="1" t="str">
        <f>IFERROR(VLOOKUP(ТабПозиции[[#This Row],[orderNum]],ТабЗаказы[#Data],MATCH(E$7,ТабЗаказы[#Headers],0),0),"")</f>
        <v/>
      </c>
      <c r="F1098" s="16" t="s">
        <v>1605</v>
      </c>
      <c r="G1098" s="40" t="s">
        <v>545</v>
      </c>
      <c r="I1098" s="18">
        <v>45594</v>
      </c>
      <c r="J1098" s="10">
        <v>1</v>
      </c>
      <c r="K1098" s="10">
        <v>617</v>
      </c>
      <c r="L1098">
        <v>617</v>
      </c>
      <c r="M1098" s="10">
        <v>664</v>
      </c>
      <c r="N1098">
        <f t="shared" si="20"/>
        <v>664</v>
      </c>
      <c r="P10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Row],[orderNum]],ТабПозиции[orderSumm])&gt;1500),ABS(N1098*VLOOKUP(ТабПозиции[[#This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1098">
        <f>IF(OR(ТабПозиции[[#This Row],[item]]="По штрихкоду",ТабПозиции[[#This Row],[item]]="Посылка"),ТабПозиции[[#This Row],[deliverySumm]]+ТабПозиции[[#This Row],[deliveryPost]],SUM(N1098:P1098))</f>
        <v>764</v>
      </c>
      <c r="R1098" s="41">
        <v>764</v>
      </c>
      <c r="S1098" s="46">
        <f>ТабПозиции[[#This Row],[totalSumm]]-ТабПозиции[[#This Row],[payment]]</f>
        <v>0</v>
      </c>
      <c r="T1098" s="18" t="s">
        <v>960</v>
      </c>
      <c r="U1098" s="40" t="s">
        <v>545</v>
      </c>
      <c r="V1098" s="40" t="s">
        <v>545</v>
      </c>
      <c r="W1098" s="40" t="s">
        <v>545</v>
      </c>
      <c r="X1098" s="3"/>
      <c r="Y1098"/>
    </row>
    <row r="1099" spans="1:25" hidden="1" x14ac:dyDescent="0.25">
      <c r="A1099" s="10">
        <v>302</v>
      </c>
      <c r="B1099" s="1">
        <f>IFERROR(VLOOKUP(ТабПозиции[[#This Row],[orderNum]],ТабЗаказы[#Data],MATCH(B$7,ТабЗаказы[#Headers],0),0),"")</f>
        <v>45584</v>
      </c>
      <c r="C1099" t="str">
        <f>MONTH(ТабПозиции[[#This Row],[date]])&amp;"/"&amp;YEAR(ТабПозиции[[#This Row],[date]])</f>
        <v>10/2024</v>
      </c>
      <c r="D1099" s="1" t="str">
        <f>IFERROR(VLOOKUP(ТабПозиции[[#This Row],[orderNum]],ТабЗаказы[#Data],MATCH(D$7,ТабЗаказы[#Headers],0),0),"")</f>
        <v/>
      </c>
      <c r="E1099" s="1" t="str">
        <f>IFERROR(VLOOKUP(ТабПозиции[[#This Row],[orderNum]],ТабЗаказы[#Data],MATCH(E$7,ТабЗаказы[#Headers],0),0),"")</f>
        <v/>
      </c>
      <c r="F1099" s="16" t="s">
        <v>1606</v>
      </c>
      <c r="G1099" s="40" t="s">
        <v>545</v>
      </c>
      <c r="I1099" s="18">
        <v>45585</v>
      </c>
      <c r="J1099" s="10">
        <v>1</v>
      </c>
      <c r="K1099" s="10">
        <v>227</v>
      </c>
      <c r="L1099">
        <v>227</v>
      </c>
      <c r="M1099" s="10">
        <v>232</v>
      </c>
      <c r="N1099">
        <f t="shared" si="20"/>
        <v>232</v>
      </c>
      <c r="P10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Row],[orderNum]],ТабПозиции[orderSumm])&gt;1500),ABS(N1099*VLOOKUP(ТабПозиции[[#This Row],[orderNum]],ТабЗаказы[#Data],MATCH("Percent",ТабЗаказы[#Headers],0),0))/100,200/COUNTIF(ТабПозиции[orderNum],ТабПозиции[[#This Row],[orderNum]])),0),"")</f>
        <v>35</v>
      </c>
      <c r="Q1099">
        <f>IF(OR(ТабПозиции[[#This Row],[item]]="По штрихкоду",ТабПозиции[[#This Row],[item]]="Посылка"),ТабПозиции[[#This Row],[deliverySumm]]+ТабПозиции[[#This Row],[deliveryPost]],SUM(N1099:P1099))</f>
        <v>267</v>
      </c>
      <c r="R1099" s="41">
        <v>267</v>
      </c>
      <c r="S1099" s="46">
        <f>ТабПозиции[[#This Row],[totalSumm]]-ТабПозиции[[#This Row],[payment]]</f>
        <v>0</v>
      </c>
      <c r="T1099" s="18" t="s">
        <v>960</v>
      </c>
      <c r="U1099" s="40" t="s">
        <v>545</v>
      </c>
      <c r="V1099" s="40" t="s">
        <v>545</v>
      </c>
      <c r="W1099" s="40" t="s">
        <v>545</v>
      </c>
      <c r="X1099" s="3"/>
      <c r="Y1099"/>
    </row>
    <row r="1100" spans="1:25" hidden="1" x14ac:dyDescent="0.25">
      <c r="A1100" s="10">
        <v>302</v>
      </c>
      <c r="B1100" s="1">
        <f>IFERROR(VLOOKUP(ТабПозиции[[#This Row],[orderNum]],ТабЗаказы[#Data],MATCH(B$7,ТабЗаказы[#Headers],0),0),"")</f>
        <v>45584</v>
      </c>
      <c r="C1100" t="str">
        <f>MONTH(ТабПозиции[[#This Row],[date]])&amp;"/"&amp;YEAR(ТабПозиции[[#This Row],[date]])</f>
        <v>10/2024</v>
      </c>
      <c r="D1100" s="1" t="str">
        <f>IFERROR(VLOOKUP(ТабПозиции[[#This Row],[orderNum]],ТабЗаказы[#Data],MATCH(D$7,ТабЗаказы[#Headers],0),0),"")</f>
        <v/>
      </c>
      <c r="E1100" s="1" t="str">
        <f>IFERROR(VLOOKUP(ТабПозиции[[#This Row],[orderNum]],ТабЗаказы[#Data],MATCH(E$7,ТабЗаказы[#Headers],0),0),"")</f>
        <v/>
      </c>
      <c r="F1100" s="16" t="s">
        <v>1607</v>
      </c>
      <c r="G1100" s="40" t="s">
        <v>545</v>
      </c>
      <c r="I1100" s="18">
        <v>45585</v>
      </c>
      <c r="J1100" s="10">
        <v>1</v>
      </c>
      <c r="K1100" s="10">
        <v>1131</v>
      </c>
      <c r="L1100">
        <v>1131</v>
      </c>
      <c r="M1100" s="10">
        <v>1215</v>
      </c>
      <c r="N1100">
        <f t="shared" si="20"/>
        <v>1215</v>
      </c>
      <c r="P11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Row],[orderNum]],ТабПозиции[orderSumm])&gt;1500),ABS(N1100*VLOOKUP(ТабПозиции[[#This Row],[orderNum]],ТабЗаказы[#Data],MATCH("Percent",ТабЗаказы[#Headers],0),0))/100,200/COUNTIF(ТабПозиции[orderNum],ТабПозиции[[#This Row],[orderNum]])),0),"")</f>
        <v>182</v>
      </c>
      <c r="Q1100">
        <f>IF(OR(ТабПозиции[[#This Row],[item]]="По штрихкоду",ТабПозиции[[#This Row],[item]]="Посылка"),ТабПозиции[[#This Row],[deliverySumm]]+ТабПозиции[[#This Row],[deliveryPost]],SUM(N1100:P1100))</f>
        <v>1397</v>
      </c>
      <c r="R1100" s="41">
        <v>1397</v>
      </c>
      <c r="S1100" s="46">
        <f>ТабПозиции[[#This Row],[totalSumm]]-ТабПозиции[[#This Row],[payment]]</f>
        <v>0</v>
      </c>
      <c r="T1100" s="18" t="s">
        <v>960</v>
      </c>
      <c r="U1100" s="40" t="s">
        <v>545</v>
      </c>
      <c r="V1100" s="40" t="s">
        <v>545</v>
      </c>
      <c r="W1100" s="40" t="s">
        <v>545</v>
      </c>
      <c r="X1100" s="3"/>
      <c r="Y1100"/>
    </row>
    <row r="1101" spans="1:25" hidden="1" x14ac:dyDescent="0.25">
      <c r="A1101" s="10">
        <v>302</v>
      </c>
      <c r="B1101" s="1">
        <f>IFERROR(VLOOKUP(ТабПозиции[[#This Row],[orderNum]],ТабЗаказы[#Data],MATCH(B$7,ТабЗаказы[#Headers],0),0),"")</f>
        <v>45584</v>
      </c>
      <c r="C1101" t="str">
        <f>MONTH(ТабПозиции[[#This Row],[date]])&amp;"/"&amp;YEAR(ТабПозиции[[#This Row],[date]])</f>
        <v>10/2024</v>
      </c>
      <c r="D1101" s="1" t="str">
        <f>IFERROR(VLOOKUP(ТабПозиции[[#This Row],[orderNum]],ТабЗаказы[#Data],MATCH(D$7,ТабЗаказы[#Headers],0),0),"")</f>
        <v/>
      </c>
      <c r="E1101" s="1" t="str">
        <f>IFERROR(VLOOKUP(ТабПозиции[[#This Row],[orderNum]],ТабЗаказы[#Data],MATCH(E$7,ТабЗаказы[#Headers],0),0),"")</f>
        <v/>
      </c>
      <c r="F1101" s="16" t="s">
        <v>682</v>
      </c>
      <c r="G1101" s="40" t="s">
        <v>545</v>
      </c>
      <c r="I1101" s="18">
        <v>45594</v>
      </c>
      <c r="J1101" s="10">
        <v>1</v>
      </c>
      <c r="K1101" s="10">
        <v>267</v>
      </c>
      <c r="L1101">
        <v>267</v>
      </c>
      <c r="M1101" s="10">
        <v>272</v>
      </c>
      <c r="N1101">
        <f t="shared" si="20"/>
        <v>272</v>
      </c>
      <c r="P11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Row],[orderNum]],ТабПозиции[orderSumm])&gt;1500),ABS(N1101*VLOOKUP(ТабПозиции[[#This Row],[orderNum]],ТабЗаказы[#Data],MATCH("Percent",ТабЗаказы[#Headers],0),0))/100,200/COUNTIF(ТабПозиции[orderNum],ТабПозиции[[#This Row],[orderNum]])),0),"")</f>
        <v>41</v>
      </c>
      <c r="Q1101">
        <f>IF(OR(ТабПозиции[[#This Row],[item]]="По штрихкоду",ТабПозиции[[#This Row],[item]]="Посылка"),ТабПозиции[[#This Row],[deliverySumm]]+ТабПозиции[[#This Row],[deliveryPost]],SUM(N1101:P1101))</f>
        <v>313</v>
      </c>
      <c r="R1101" s="41">
        <v>313</v>
      </c>
      <c r="S1101" s="46">
        <f>ТабПозиции[[#This Row],[totalSumm]]-ТабПозиции[[#This Row],[payment]]</f>
        <v>0</v>
      </c>
      <c r="T1101" s="18" t="s">
        <v>960</v>
      </c>
      <c r="U1101" s="40" t="s">
        <v>545</v>
      </c>
      <c r="V1101" s="40" t="s">
        <v>545</v>
      </c>
      <c r="W1101" s="40" t="s">
        <v>545</v>
      </c>
      <c r="X1101" s="3"/>
      <c r="Y1101"/>
    </row>
    <row r="1102" spans="1:25" hidden="1" x14ac:dyDescent="0.25">
      <c r="A1102" s="10">
        <v>304</v>
      </c>
      <c r="B1102" s="1">
        <f>IFERROR(VLOOKUP(ТабПозиции[[#This Row],[orderNum]],ТабЗаказы[#Data],MATCH(B$7,ТабЗаказы[#Headers],0),0),"")</f>
        <v>45585</v>
      </c>
      <c r="C1102" t="str">
        <f>MONTH(ТабПозиции[[#This Row],[date]])&amp;"/"&amp;YEAR(ТабПозиции[[#This Row],[date]])</f>
        <v>10/2024</v>
      </c>
      <c r="D1102" s="1" t="str">
        <f>IFERROR(VLOOKUP(ТабПозиции[[#This Row],[orderNum]],ТабЗаказы[#Data],MATCH(D$7,ТабЗаказы[#Headers],0),0),"")</f>
        <v/>
      </c>
      <c r="E1102" s="1" t="str">
        <f>IFERROR(VLOOKUP(ТабПозиции[[#This Row],[orderNum]],ТабЗаказы[#Data],MATCH(E$7,ТабЗаказы[#Headers],0),0),"")</f>
        <v/>
      </c>
      <c r="F1102" s="51" t="s">
        <v>1608</v>
      </c>
      <c r="G1102" s="40" t="s">
        <v>545</v>
      </c>
      <c r="I1102" s="18">
        <v>45590</v>
      </c>
      <c r="J1102" s="10">
        <v>1</v>
      </c>
      <c r="K1102" s="10">
        <v>1127</v>
      </c>
      <c r="L1102">
        <v>1127</v>
      </c>
      <c r="M1102" s="10">
        <v>1187</v>
      </c>
      <c r="N1102">
        <f t="shared" si="20"/>
        <v>1187</v>
      </c>
      <c r="P11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Row],[orderNum]],ТабПозиции[orderSumm])&gt;1500),ABS(N1102*VLOOKUP(ТабПозиции[[#This Row],[orderNum]],ТабЗаказы[#Data],MATCH("Percent",ТабЗаказы[#Headers],0),0))/100,200/COUNTIF(ТабПозиции[orderNum],ТабПозиции[[#This Row],[orderNum]])),0),"")</f>
        <v>178</v>
      </c>
      <c r="Q1102">
        <f>IF(OR(ТабПозиции[[#This Row],[item]]="По штрихкоду",ТабПозиции[[#This Row],[item]]="Посылка"),ТабПозиции[[#This Row],[deliverySumm]]+ТабПозиции[[#This Row],[deliveryPost]],SUM(N1102:P1102))</f>
        <v>1365</v>
      </c>
      <c r="R1102" s="41">
        <v>1365</v>
      </c>
      <c r="S1102" s="46">
        <f>ТабПозиции[[#This Row],[totalSumm]]-ТабПозиции[[#This Row],[payment]]</f>
        <v>0</v>
      </c>
      <c r="T1102" s="18" t="s">
        <v>970</v>
      </c>
      <c r="U1102" s="40" t="s">
        <v>545</v>
      </c>
      <c r="V1102" s="40" t="s">
        <v>545</v>
      </c>
      <c r="W1102" s="40" t="s">
        <v>545</v>
      </c>
      <c r="X1102" s="3"/>
      <c r="Y1102"/>
    </row>
    <row r="1103" spans="1:25" hidden="1" x14ac:dyDescent="0.25">
      <c r="A1103" s="10">
        <v>304</v>
      </c>
      <c r="B1103" s="1">
        <f>IFERROR(VLOOKUP(ТабПозиции[[#This Row],[orderNum]],ТабЗаказы[#Data],MATCH(B$7,ТабЗаказы[#Headers],0),0),"")</f>
        <v>45585</v>
      </c>
      <c r="C1103" t="str">
        <f>MONTH(ТабПозиции[[#This Row],[date]])&amp;"/"&amp;YEAR(ТабПозиции[[#This Row],[date]])</f>
        <v>10/2024</v>
      </c>
      <c r="D1103" s="1" t="str">
        <f>IFERROR(VLOOKUP(ТабПозиции[[#This Row],[orderNum]],ТабЗаказы[#Data],MATCH(D$7,ТабЗаказы[#Headers],0),0),"")</f>
        <v/>
      </c>
      <c r="E1103" s="1" t="str">
        <f>IFERROR(VLOOKUP(ТабПозиции[[#This Row],[orderNum]],ТабЗаказы[#Data],MATCH(E$7,ТабЗаказы[#Headers],0),0),"")</f>
        <v/>
      </c>
      <c r="F1103" s="16" t="s">
        <v>1609</v>
      </c>
      <c r="G1103" s="40" t="s">
        <v>545</v>
      </c>
      <c r="I1103" s="18">
        <v>45587</v>
      </c>
      <c r="J1103" s="10">
        <v>1</v>
      </c>
      <c r="K1103" s="10">
        <v>270</v>
      </c>
      <c r="L1103">
        <v>270</v>
      </c>
      <c r="M1103" s="10">
        <v>285</v>
      </c>
      <c r="N1103">
        <f t="shared" si="20"/>
        <v>285</v>
      </c>
      <c r="P11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Row],[orderNum]],ТабПозиции[orderSumm])&gt;1500),ABS(N1103*VLOOKUP(ТабПозиции[[#This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103">
        <f>IF(OR(ТабПозиции[[#This Row],[item]]="По штрихкоду",ТабПозиции[[#This Row],[item]]="Посылка"),ТабПозиции[[#This Row],[deliverySumm]]+ТабПозиции[[#This Row],[deliveryPost]],SUM(N1103:P1103))</f>
        <v>328</v>
      </c>
      <c r="R1103" s="41">
        <v>328</v>
      </c>
      <c r="S1103" s="46">
        <f>ТабПозиции[[#This Row],[totalSumm]]-ТабПозиции[[#This Row],[payment]]</f>
        <v>0</v>
      </c>
      <c r="T1103" s="18" t="s">
        <v>970</v>
      </c>
      <c r="U1103" s="40" t="s">
        <v>545</v>
      </c>
      <c r="V1103" s="40" t="s">
        <v>545</v>
      </c>
      <c r="W1103" s="40" t="s">
        <v>545</v>
      </c>
      <c r="X1103" s="3"/>
      <c r="Y1103"/>
    </row>
    <row r="1104" spans="1:25" hidden="1" x14ac:dyDescent="0.25">
      <c r="A1104" s="10">
        <v>304</v>
      </c>
      <c r="B1104" s="1">
        <f>IFERROR(VLOOKUP(ТабПозиции[[#This Row],[orderNum]],ТабЗаказы[#Data],MATCH(B$7,ТабЗаказы[#Headers],0),0),"")</f>
        <v>45585</v>
      </c>
      <c r="C1104" t="str">
        <f>MONTH(ТабПозиции[[#This Row],[date]])&amp;"/"&amp;YEAR(ТабПозиции[[#This Row],[date]])</f>
        <v>10/2024</v>
      </c>
      <c r="D1104" s="1" t="str">
        <f>IFERROR(VLOOKUP(ТабПозиции[[#This Row],[orderNum]],ТабЗаказы[#Data],MATCH(D$7,ТабЗаказы[#Headers],0),0),"")</f>
        <v/>
      </c>
      <c r="E1104" s="1" t="str">
        <f>IFERROR(VLOOKUP(ТабПозиции[[#This Row],[orderNum]],ТабЗаказы[#Data],MATCH(E$7,ТабЗаказы[#Headers],0),0),"")</f>
        <v/>
      </c>
      <c r="F1104" s="16" t="s">
        <v>1610</v>
      </c>
      <c r="G1104" s="40" t="s">
        <v>545</v>
      </c>
      <c r="I1104" s="18">
        <v>45588</v>
      </c>
      <c r="J1104" s="10">
        <v>1</v>
      </c>
      <c r="K1104" s="10">
        <v>284</v>
      </c>
      <c r="L1104">
        <v>284</v>
      </c>
      <c r="M1104" s="10">
        <v>299</v>
      </c>
      <c r="N1104">
        <f t="shared" si="20"/>
        <v>299</v>
      </c>
      <c r="P11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Row],[orderNum]],ТабПозиции[orderSumm])&gt;1500),ABS(N1104*VLOOKUP(ТабПозиции[[#This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104">
        <f>IF(OR(ТабПозиции[[#This Row],[item]]="По штрихкоду",ТабПозиции[[#This Row],[item]]="Посылка"),ТабПозиции[[#This Row],[deliverySumm]]+ТабПозиции[[#This Row],[deliveryPost]],SUM(N1104:P1104))</f>
        <v>344</v>
      </c>
      <c r="R1104" s="41">
        <v>344</v>
      </c>
      <c r="S1104" s="46">
        <f>ТабПозиции[[#This Row],[totalSumm]]-ТабПозиции[[#This Row],[payment]]</f>
        <v>0</v>
      </c>
      <c r="T1104" s="18" t="s">
        <v>970</v>
      </c>
      <c r="U1104" s="40" t="s">
        <v>545</v>
      </c>
      <c r="V1104" s="40" t="s">
        <v>545</v>
      </c>
      <c r="W1104" s="40" t="s">
        <v>545</v>
      </c>
      <c r="X1104" s="3"/>
      <c r="Y1104"/>
    </row>
    <row r="1105" spans="1:25" hidden="1" x14ac:dyDescent="0.25">
      <c r="A1105" s="10">
        <v>304</v>
      </c>
      <c r="B1105" s="1">
        <f>IFERROR(VLOOKUP(ТабПозиции[[#This Row],[orderNum]],ТабЗаказы[#Data],MATCH(B$7,ТабЗаказы[#Headers],0),0),"")</f>
        <v>45585</v>
      </c>
      <c r="C1105" t="str">
        <f>MONTH(ТабПозиции[[#This Row],[date]])&amp;"/"&amp;YEAR(ТабПозиции[[#This Row],[date]])</f>
        <v>10/2024</v>
      </c>
      <c r="D1105" s="1" t="str">
        <f>IFERROR(VLOOKUP(ТабПозиции[[#This Row],[orderNum]],ТабЗаказы[#Data],MATCH(D$7,ТабЗаказы[#Headers],0),0),"")</f>
        <v/>
      </c>
      <c r="E1105" s="1" t="str">
        <f>IFERROR(VLOOKUP(ТабПозиции[[#This Row],[orderNum]],ТабЗаказы[#Data],MATCH(E$7,ТабЗаказы[#Headers],0),0),"")</f>
        <v/>
      </c>
      <c r="F1105" s="16" t="s">
        <v>639</v>
      </c>
      <c r="G1105" s="40" t="s">
        <v>545</v>
      </c>
      <c r="I1105" s="18">
        <v>45587</v>
      </c>
      <c r="J1105" s="10">
        <v>1</v>
      </c>
      <c r="K1105" s="10">
        <v>494</v>
      </c>
      <c r="L1105">
        <v>494</v>
      </c>
      <c r="M1105" s="10">
        <v>520</v>
      </c>
      <c r="N1105">
        <f t="shared" si="20"/>
        <v>520</v>
      </c>
      <c r="P11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Row],[orderNum]],ТабПозиции[orderSumm])&gt;1500),ABS(N1105*VLOOKUP(ТабПозиции[[#This Row],[orderNum]],ТабЗаказы[#Data],MATCH("Percent",ТабЗаказы[#Headers],0),0))/100,200/COUNTIF(ТабПозиции[orderNum],ТабПозиции[[#This Row],[orderNum]])),0),"")</f>
        <v>78</v>
      </c>
      <c r="Q1105">
        <f>IF(OR(ТабПозиции[[#This Row],[item]]="По штрихкоду",ТабПозиции[[#This Row],[item]]="Посылка"),ТабПозиции[[#This Row],[deliverySumm]]+ТабПозиции[[#This Row],[deliveryPost]],SUM(N1105:P1105))</f>
        <v>598</v>
      </c>
      <c r="R1105" s="41">
        <v>598</v>
      </c>
      <c r="S1105" s="46">
        <f>ТабПозиции[[#This Row],[totalSumm]]-ТабПозиции[[#This Row],[payment]]</f>
        <v>0</v>
      </c>
      <c r="T1105" s="18" t="s">
        <v>970</v>
      </c>
      <c r="U1105" s="40" t="s">
        <v>545</v>
      </c>
      <c r="V1105" s="40" t="s">
        <v>545</v>
      </c>
      <c r="W1105" s="40" t="s">
        <v>545</v>
      </c>
      <c r="X1105" s="3"/>
      <c r="Y1105"/>
    </row>
    <row r="1106" spans="1:25" hidden="1" x14ac:dyDescent="0.25">
      <c r="A1106" s="10">
        <v>304</v>
      </c>
      <c r="B1106" s="1">
        <f>IFERROR(VLOOKUP(ТабПозиции[[#This Row],[orderNum]],ТабЗаказы[#Data],MATCH(B$7,ТабЗаказы[#Headers],0),0),"")</f>
        <v>45585</v>
      </c>
      <c r="C1106" t="str">
        <f>MONTH(ТабПозиции[[#This Row],[date]])&amp;"/"&amp;YEAR(ТабПозиции[[#This Row],[date]])</f>
        <v>10/2024</v>
      </c>
      <c r="D1106" s="1" t="str">
        <f>IFERROR(VLOOKUP(ТабПозиции[[#This Row],[orderNum]],ТабЗаказы[#Data],MATCH(D$7,ТабЗаказы[#Headers],0),0),"")</f>
        <v/>
      </c>
      <c r="E1106" s="1" t="str">
        <f>IFERROR(VLOOKUP(ТабПозиции[[#This Row],[orderNum]],ТабЗаказы[#Data],MATCH(E$7,ТабЗаказы[#Headers],0),0),"")</f>
        <v/>
      </c>
      <c r="F1106" s="16" t="s">
        <v>1562</v>
      </c>
      <c r="G1106" s="40" t="s">
        <v>552</v>
      </c>
      <c r="I1106" s="18">
        <v>45587</v>
      </c>
      <c r="J1106" s="10">
        <v>1</v>
      </c>
      <c r="K1106" s="10">
        <v>578</v>
      </c>
      <c r="L1106">
        <v>578</v>
      </c>
      <c r="M1106" s="10">
        <v>609</v>
      </c>
      <c r="N1106">
        <f t="shared" si="20"/>
        <v>609</v>
      </c>
      <c r="P11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Row],[orderNum]],ТабПозиции[orderSumm])&gt;1500),ABS(N1106*VLOOKUP(ТабПозиции[[#This Row],[orderNum]],ТабЗаказы[#Data],MATCH("Percent",ТабЗаказы[#Headers],0),0))/100,200/COUNTIF(ТабПозиции[orderNum],ТабПозиции[[#This Row],[orderNum]])),0),"")</f>
        <v>91</v>
      </c>
      <c r="Q1106">
        <f>IF(OR(ТабПозиции[[#This Row],[item]]="По штрихкоду",ТабПозиции[[#This Row],[item]]="Посылка"),ТабПозиции[[#This Row],[deliverySumm]]+ТабПозиции[[#This Row],[deliveryPost]],SUM(N1106:P1106))</f>
        <v>700</v>
      </c>
      <c r="R1106" s="41">
        <v>700</v>
      </c>
      <c r="S1106" s="46">
        <f>ТабПозиции[[#This Row],[totalSumm]]-ТабПозиции[[#This Row],[payment]]</f>
        <v>0</v>
      </c>
      <c r="T1106" s="18" t="s">
        <v>970</v>
      </c>
      <c r="U1106" s="40" t="s">
        <v>545</v>
      </c>
      <c r="V1106" s="40" t="s">
        <v>545</v>
      </c>
      <c r="W1106" s="40" t="s">
        <v>545</v>
      </c>
      <c r="X1106" s="3"/>
      <c r="Y1106"/>
    </row>
    <row r="1107" spans="1:25" hidden="1" x14ac:dyDescent="0.25">
      <c r="A1107" s="10">
        <v>304</v>
      </c>
      <c r="B1107" s="1">
        <f>IFERROR(VLOOKUP(ТабПозиции[[#This Row],[orderNum]],ТабЗаказы[#Data],MATCH(B$7,ТабЗаказы[#Headers],0),0),"")</f>
        <v>45585</v>
      </c>
      <c r="C1107" t="str">
        <f>MONTH(ТабПозиции[[#This Row],[date]])&amp;"/"&amp;YEAR(ТабПозиции[[#This Row],[date]])</f>
        <v>10/2024</v>
      </c>
      <c r="D1107" s="1" t="str">
        <f>IFERROR(VLOOKUP(ТабПозиции[[#This Row],[orderNum]],ТабЗаказы[#Data],MATCH(D$7,ТабЗаказы[#Headers],0),0),"")</f>
        <v/>
      </c>
      <c r="E1107" s="1" t="str">
        <f>IFERROR(VLOOKUP(ТабПозиции[[#This Row],[orderNum]],ТабЗаказы[#Data],MATCH(E$7,ТабЗаказы[#Headers],0),0),"")</f>
        <v/>
      </c>
      <c r="F1107" s="16" t="s">
        <v>1611</v>
      </c>
      <c r="G1107" s="40" t="s">
        <v>545</v>
      </c>
      <c r="I1107" s="18">
        <v>45588</v>
      </c>
      <c r="J1107" s="10">
        <v>1</v>
      </c>
      <c r="K1107" s="10">
        <v>392</v>
      </c>
      <c r="L1107">
        <v>392</v>
      </c>
      <c r="M1107" s="10">
        <v>413</v>
      </c>
      <c r="N1107">
        <f t="shared" si="20"/>
        <v>413</v>
      </c>
      <c r="P11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Row],[orderNum]],ТабПозиции[orderSumm])&gt;1500),ABS(N1107*VLOOKUP(ТабПозиции[[#This Row],[orderNum]],ТабЗаказы[#Data],MATCH("Percent",ТабЗаказы[#Headers],0),0))/100,200/COUNTIF(ТабПозиции[orderNum],ТабПозиции[[#This Row],[orderNum]])),0),"")</f>
        <v>62</v>
      </c>
      <c r="Q1107">
        <f>IF(OR(ТабПозиции[[#This Row],[item]]="По штрихкоду",ТабПозиции[[#This Row],[item]]="Посылка"),ТабПозиции[[#This Row],[deliverySumm]]+ТабПозиции[[#This Row],[deliveryPost]],SUM(N1107:P1107))</f>
        <v>475</v>
      </c>
      <c r="R1107" s="41">
        <v>475</v>
      </c>
      <c r="S1107" s="46">
        <f>ТабПозиции[[#This Row],[totalSumm]]-ТабПозиции[[#This Row],[payment]]</f>
        <v>0</v>
      </c>
      <c r="T1107" s="18" t="s">
        <v>970</v>
      </c>
      <c r="U1107" s="40" t="s">
        <v>545</v>
      </c>
      <c r="V1107" s="40" t="s">
        <v>545</v>
      </c>
      <c r="W1107" s="40" t="s">
        <v>545</v>
      </c>
      <c r="X1107" s="3"/>
      <c r="Y1107"/>
    </row>
    <row r="1108" spans="1:25" hidden="1" x14ac:dyDescent="0.25">
      <c r="A1108" s="10">
        <v>299</v>
      </c>
      <c r="B1108" s="1">
        <f>IFERROR(VLOOKUP(ТабПозиции[[#This Row],[orderNum]],ТабЗаказы[#Data],MATCH(B$7,ТабЗаказы[#Headers],0),0),"")</f>
        <v>45584</v>
      </c>
      <c r="C1108" t="str">
        <f>MONTH(ТабПозиции[[#This Row],[date]])&amp;"/"&amp;YEAR(ТабПозиции[[#This Row],[date]])</f>
        <v>10/2024</v>
      </c>
      <c r="D1108" s="1" t="str">
        <f>IFERROR(VLOOKUP(ТабПозиции[[#This Row],[orderNum]],ТабЗаказы[#Data],MATCH(D$7,ТабЗаказы[#Headers],0),0),"")</f>
        <v/>
      </c>
      <c r="E1108" s="1" t="str">
        <f>IFERROR(VLOOKUP(ТабПозиции[[#This Row],[orderNum]],ТабЗаказы[#Data],MATCH(E$7,ТабЗаказы[#Headers],0),0),"")</f>
        <v/>
      </c>
      <c r="F1108" s="16" t="s">
        <v>1612</v>
      </c>
      <c r="G1108" s="40" t="s">
        <v>545</v>
      </c>
      <c r="I1108" s="18">
        <v>45592</v>
      </c>
      <c r="J1108" s="10">
        <v>1</v>
      </c>
      <c r="K1108" s="10">
        <v>1083</v>
      </c>
      <c r="L1108">
        <v>1083</v>
      </c>
      <c r="M1108" s="10">
        <v>1158</v>
      </c>
      <c r="N1108">
        <f t="shared" si="20"/>
        <v>1158</v>
      </c>
      <c r="P11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Row],[orderNum]],ТабПозиции[orderSumm])&gt;1500),ABS(N1108*VLOOKUP(ТабПозиции[[#This Row],[orderNum]],ТабЗаказы[#Data],MATCH("Percent",ТабЗаказы[#Headers],0),0))/100,200/COUNTIF(ТабПозиции[orderNum],ТабПозиции[[#This Row],[orderNum]])),0),"")</f>
        <v>116</v>
      </c>
      <c r="Q1108">
        <f>IF(OR(ТабПозиции[[#This Row],[item]]="По штрихкоду",ТабПозиции[[#This Row],[item]]="Посылка"),ТабПозиции[[#This Row],[deliverySumm]]+ТабПозиции[[#This Row],[deliveryPost]],SUM(N1108:P1108))</f>
        <v>1274</v>
      </c>
      <c r="R1108" s="41">
        <v>1274</v>
      </c>
      <c r="S1108" s="46">
        <f>ТабПозиции[[#This Row],[totalSumm]]-ТабПозиции[[#This Row],[payment]]</f>
        <v>0</v>
      </c>
      <c r="T1108" s="18" t="s">
        <v>960</v>
      </c>
      <c r="U1108" s="40" t="s">
        <v>545</v>
      </c>
      <c r="V1108" s="40" t="s">
        <v>545</v>
      </c>
      <c r="W1108" s="40" t="s">
        <v>545</v>
      </c>
      <c r="X1108" s="3"/>
      <c r="Y1108"/>
    </row>
    <row r="1109" spans="1:25" hidden="1" x14ac:dyDescent="0.25">
      <c r="A1109" s="10">
        <v>299</v>
      </c>
      <c r="B1109" s="1">
        <f>IFERROR(VLOOKUP(ТабПозиции[[#This Row],[orderNum]],ТабЗаказы[#Data],MATCH(B$7,ТабЗаказы[#Headers],0),0),"")</f>
        <v>45584</v>
      </c>
      <c r="C1109" t="str">
        <f>MONTH(ТабПозиции[[#This Row],[date]])&amp;"/"&amp;YEAR(ТабПозиции[[#This Row],[date]])</f>
        <v>10/2024</v>
      </c>
      <c r="D1109" s="1" t="str">
        <f>IFERROR(VLOOKUP(ТабПозиции[[#This Row],[orderNum]],ТабЗаказы[#Data],MATCH(D$7,ТабЗаказы[#Headers],0),0),"")</f>
        <v/>
      </c>
      <c r="E1109" s="1" t="str">
        <f>IFERROR(VLOOKUP(ТабПозиции[[#This Row],[orderNum]],ТабЗаказы[#Data],MATCH(E$7,ТабЗаказы[#Headers],0),0),"")</f>
        <v/>
      </c>
      <c r="F1109" s="16" t="s">
        <v>1613</v>
      </c>
      <c r="G1109" s="40" t="s">
        <v>545</v>
      </c>
      <c r="I1109" s="18">
        <v>45589</v>
      </c>
      <c r="J1109" s="10">
        <v>1</v>
      </c>
      <c r="K1109" s="10">
        <v>1650</v>
      </c>
      <c r="L1109">
        <v>1650</v>
      </c>
      <c r="M1109" s="10">
        <v>1759</v>
      </c>
      <c r="N1109">
        <f t="shared" si="20"/>
        <v>1759</v>
      </c>
      <c r="P11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Row],[orderNum]],ТабПозиции[orderSumm])&gt;1500),ABS(N1109*VLOOKUP(ТабПозиции[[#This Row],[orderNum]],ТабЗаказы[#Data],MATCH("Percent",ТабЗаказы[#Headers],0),0))/100,200/COUNTIF(ТабПозиции[orderNum],ТабПозиции[[#This Row],[orderNum]])),0),"")</f>
        <v>176</v>
      </c>
      <c r="Q1109">
        <f>IF(OR(ТабПозиции[[#This Row],[item]]="По штрихкоду",ТабПозиции[[#This Row],[item]]="Посылка"),ТабПозиции[[#This Row],[deliverySumm]]+ТабПозиции[[#This Row],[deliveryPost]],SUM(N1109:P1109))</f>
        <v>1935</v>
      </c>
      <c r="R1109" s="41">
        <v>1935</v>
      </c>
      <c r="S1109" s="46">
        <f>ТабПозиции[[#This Row],[totalSumm]]-ТабПозиции[[#This Row],[payment]]</f>
        <v>0</v>
      </c>
      <c r="T1109" s="18" t="s">
        <v>960</v>
      </c>
      <c r="U1109" s="40" t="s">
        <v>545</v>
      </c>
      <c r="V1109" s="40" t="s">
        <v>545</v>
      </c>
      <c r="W1109" s="40" t="s">
        <v>545</v>
      </c>
      <c r="X1109" s="3"/>
      <c r="Y1109"/>
    </row>
    <row r="1110" spans="1:25" hidden="1" x14ac:dyDescent="0.25">
      <c r="A1110" s="10">
        <v>303</v>
      </c>
      <c r="B1110" s="1">
        <f>IFERROR(VLOOKUP(ТабПозиции[[#This Row],[orderNum]],ТабЗаказы[#Data],MATCH(B$7,ТабЗаказы[#Headers],0),0),"")</f>
        <v>45585</v>
      </c>
      <c r="C1110" t="str">
        <f>MONTH(ТабПозиции[[#This Row],[date]])&amp;"/"&amp;YEAR(ТабПозиции[[#This Row],[date]])</f>
        <v>10/2024</v>
      </c>
      <c r="D1110" s="1" t="str">
        <f>IFERROR(VLOOKUP(ТабПозиции[[#This Row],[orderNum]],ТабЗаказы[#Data],MATCH(D$7,ТабЗаказы[#Headers],0),0),"")</f>
        <v/>
      </c>
      <c r="E1110" s="1" t="str">
        <f>IFERROR(VLOOKUP(ТабПозиции[[#This Row],[orderNum]],ТабЗаказы[#Data],MATCH(E$7,ТабЗаказы[#Headers],0),0),"")</f>
        <v/>
      </c>
      <c r="F1110" s="51" t="s">
        <v>1614</v>
      </c>
      <c r="G1110" s="40" t="s">
        <v>545</v>
      </c>
      <c r="I1110" s="18">
        <v>45590</v>
      </c>
      <c r="J1110" s="10">
        <v>1</v>
      </c>
      <c r="K1110" s="10">
        <v>3754</v>
      </c>
      <c r="L1110">
        <v>3754</v>
      </c>
      <c r="M1110" s="10">
        <v>3952</v>
      </c>
      <c r="N1110">
        <f t="shared" si="20"/>
        <v>3952</v>
      </c>
      <c r="P11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Row],[orderNum]],ТабПозиции[orderSumm])&gt;1500),ABS(N1110*VLOOKUP(ТабПозиции[[#This Row],[orderNum]],ТабЗаказы[#Data],MATCH("Percent",ТабЗаказы[#Headers],0),0))/100,200/COUNTIF(ТабПозиции[orderNum],ТабПозиции[[#This Row],[orderNum]])),0),"")</f>
        <v>395</v>
      </c>
      <c r="Q1110">
        <f>IF(OR(ТабПозиции[[#This Row],[item]]="По штрихкоду",ТабПозиции[[#This Row],[item]]="Посылка"),ТабПозиции[[#This Row],[deliverySumm]]+ТабПозиции[[#This Row],[deliveryPost]],SUM(N1110:P1110))</f>
        <v>4347</v>
      </c>
      <c r="R1110" s="41">
        <v>4347</v>
      </c>
      <c r="S1110" s="46">
        <f>ТабПозиции[[#This Row],[totalSumm]]-ТабПозиции[[#This Row],[payment]]</f>
        <v>0</v>
      </c>
      <c r="T1110" s="18" t="s">
        <v>970</v>
      </c>
      <c r="U1110" s="40" t="s">
        <v>545</v>
      </c>
      <c r="V1110" s="40" t="s">
        <v>545</v>
      </c>
      <c r="W1110" s="40" t="s">
        <v>545</v>
      </c>
      <c r="X1110" s="3"/>
      <c r="Y1110"/>
    </row>
    <row r="1111" spans="1:25" hidden="1" x14ac:dyDescent="0.25">
      <c r="A1111" s="10">
        <v>303</v>
      </c>
      <c r="B1111" s="1">
        <f>IFERROR(VLOOKUP(ТабПозиции[[#This Row],[orderNum]],ТабЗаказы[#Data],MATCH(B$7,ТабЗаказы[#Headers],0),0),"")</f>
        <v>45585</v>
      </c>
      <c r="C1111" t="str">
        <f>MONTH(ТабПозиции[[#This Row],[date]])&amp;"/"&amp;YEAR(ТабПозиции[[#This Row],[date]])</f>
        <v>10/2024</v>
      </c>
      <c r="D1111" s="1" t="str">
        <f>IFERROR(VLOOKUP(ТабПозиции[[#This Row],[orderNum]],ТабЗаказы[#Data],MATCH(D$7,ТабЗаказы[#Headers],0),0),"")</f>
        <v/>
      </c>
      <c r="E1111" s="1" t="str">
        <f>IFERROR(VLOOKUP(ТабПозиции[[#This Row],[orderNum]],ТабЗаказы[#Data],MATCH(E$7,ТабЗаказы[#Headers],0),0),"")</f>
        <v/>
      </c>
      <c r="F1111" s="51" t="s">
        <v>1615</v>
      </c>
      <c r="G1111" s="40" t="s">
        <v>545</v>
      </c>
      <c r="I1111" s="18">
        <v>45593</v>
      </c>
      <c r="J1111" s="10">
        <v>1</v>
      </c>
      <c r="K1111" s="10">
        <v>2453</v>
      </c>
      <c r="L1111">
        <v>2453</v>
      </c>
      <c r="M1111" s="10">
        <v>2583</v>
      </c>
      <c r="N1111">
        <f t="shared" ref="N1111:N1174" si="21">M1111*J1111</f>
        <v>2583</v>
      </c>
      <c r="P11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Row],[orderNum]],ТабПозиции[orderSumm])&gt;1500),ABS(N1111*VLOOKUP(ТабПозиции[[#This Row],[orderNum]],ТабЗаказы[#Data],MATCH("Percent",ТабЗаказы[#Headers],0),0))/100,200/COUNTIF(ТабПозиции[orderNum],ТабПозиции[[#This Row],[orderNum]])),0),"")</f>
        <v>258</v>
      </c>
      <c r="Q1111">
        <f>IF(OR(ТабПозиции[[#This Row],[item]]="По штрихкоду",ТабПозиции[[#This Row],[item]]="Посылка"),ТабПозиции[[#This Row],[deliverySumm]]+ТабПозиции[[#This Row],[deliveryPost]],SUM(N1111:P1111))</f>
        <v>2841</v>
      </c>
      <c r="R1111" s="41">
        <v>2841</v>
      </c>
      <c r="S1111" s="46">
        <f>ТабПозиции[[#This Row],[totalSumm]]-ТабПозиции[[#This Row],[payment]]</f>
        <v>0</v>
      </c>
      <c r="T1111" s="18" t="s">
        <v>970</v>
      </c>
      <c r="U1111" s="40" t="s">
        <v>545</v>
      </c>
      <c r="V1111" s="40" t="s">
        <v>545</v>
      </c>
      <c r="W1111" s="40" t="s">
        <v>545</v>
      </c>
      <c r="X1111" s="3"/>
      <c r="Y1111"/>
    </row>
    <row r="1112" spans="1:25" hidden="1" x14ac:dyDescent="0.25">
      <c r="A1112" s="10">
        <v>303</v>
      </c>
      <c r="B1112" s="1">
        <f>IFERROR(VLOOKUP(ТабПозиции[[#This Row],[orderNum]],ТабЗаказы[#Data],MATCH(B$7,ТабЗаказы[#Headers],0),0),"")</f>
        <v>45585</v>
      </c>
      <c r="C1112" t="str">
        <f>MONTH(ТабПозиции[[#This Row],[date]])&amp;"/"&amp;YEAR(ТабПозиции[[#This Row],[date]])</f>
        <v>10/2024</v>
      </c>
      <c r="D1112" s="1" t="str">
        <f>IFERROR(VLOOKUP(ТабПозиции[[#This Row],[orderNum]],ТабЗаказы[#Data],MATCH(D$7,ТабЗаказы[#Headers],0),0),"")</f>
        <v/>
      </c>
      <c r="E1112" s="1" t="str">
        <f>IFERROR(VLOOKUP(ТабПозиции[[#This Row],[orderNum]],ТабЗаказы[#Data],MATCH(E$7,ТабЗаказы[#Headers],0),0),"")</f>
        <v/>
      </c>
      <c r="F1112" s="16" t="s">
        <v>1616</v>
      </c>
      <c r="G1112" s="40" t="s">
        <v>545</v>
      </c>
      <c r="I1112" s="18">
        <v>45593</v>
      </c>
      <c r="J1112" s="10">
        <v>1</v>
      </c>
      <c r="K1112" s="10">
        <v>573</v>
      </c>
      <c r="L1112">
        <v>573</v>
      </c>
      <c r="M1112" s="10">
        <v>604</v>
      </c>
      <c r="N1112">
        <f t="shared" si="21"/>
        <v>604</v>
      </c>
      <c r="P11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Row],[orderNum]],ТабПозиции[orderSumm])&gt;1500),ABS(N1112*VLOOKUP(ТабПозиции[[#This Row],[orderNum]],ТабЗаказы[#Data],MATCH("Percent",ТабЗаказы[#Headers],0),0))/100,200/COUNTIF(ТабПозиции[orderNum],ТабПозиции[[#This Row],[orderNum]])),0),"")</f>
        <v>60</v>
      </c>
      <c r="Q1112">
        <f>IF(OR(ТабПозиции[[#This Row],[item]]="По штрихкоду",ТабПозиции[[#This Row],[item]]="Посылка"),ТабПозиции[[#This Row],[deliverySumm]]+ТабПозиции[[#This Row],[deliveryPost]],SUM(N1112:P1112))</f>
        <v>664</v>
      </c>
      <c r="R1112" s="41">
        <v>664</v>
      </c>
      <c r="S1112" s="46">
        <f>ТабПозиции[[#This Row],[totalSumm]]-ТабПозиции[[#This Row],[payment]]</f>
        <v>0</v>
      </c>
      <c r="T1112" s="18" t="s">
        <v>970</v>
      </c>
      <c r="U1112" s="40" t="s">
        <v>545</v>
      </c>
      <c r="V1112" s="40" t="s">
        <v>545</v>
      </c>
      <c r="W1112" s="40" t="s">
        <v>545</v>
      </c>
      <c r="X1112" s="3"/>
      <c r="Y1112"/>
    </row>
    <row r="1113" spans="1:25" hidden="1" x14ac:dyDescent="0.25">
      <c r="A1113" s="10">
        <v>303</v>
      </c>
      <c r="B1113" s="1">
        <f>IFERROR(VLOOKUP(ТабПозиции[[#This Row],[orderNum]],ТабЗаказы[#Data],MATCH(B$7,ТабЗаказы[#Headers],0),0),"")</f>
        <v>45585</v>
      </c>
      <c r="C1113" t="str">
        <f>MONTH(ТабПозиции[[#This Row],[date]])&amp;"/"&amp;YEAR(ТабПозиции[[#This Row],[date]])</f>
        <v>10/2024</v>
      </c>
      <c r="D1113" s="1" t="str">
        <f>IFERROR(VLOOKUP(ТабПозиции[[#This Row],[orderNum]],ТабЗаказы[#Data],MATCH(D$7,ТабЗаказы[#Headers],0),0),"")</f>
        <v/>
      </c>
      <c r="E1113" s="1" t="str">
        <f>IFERROR(VLOOKUP(ТабПозиции[[#This Row],[orderNum]],ТабЗаказы[#Data],MATCH(E$7,ТабЗаказы[#Headers],0),0),"")</f>
        <v/>
      </c>
      <c r="F1113" s="51" t="s">
        <v>1617</v>
      </c>
      <c r="G1113" s="40" t="s">
        <v>545</v>
      </c>
      <c r="I1113" s="18">
        <v>45591</v>
      </c>
      <c r="J1113" s="10">
        <v>1</v>
      </c>
      <c r="K1113" s="10">
        <v>1702</v>
      </c>
      <c r="L1113">
        <v>1702</v>
      </c>
      <c r="M1113" s="10">
        <v>1792</v>
      </c>
      <c r="N1113">
        <f t="shared" si="21"/>
        <v>1792</v>
      </c>
      <c r="P11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Row],[orderNum]],ТабПозиции[orderSumm])&gt;1500),ABS(N1113*VLOOKUP(ТабПозиции[[#This Row],[orderNum]],ТабЗаказы[#Data],MATCH("Percent",ТабЗаказы[#Headers],0),0))/100,200/COUNTIF(ТабПозиции[orderNum],ТабПозиции[[#This Row],[orderNum]])),0),"")</f>
        <v>179</v>
      </c>
      <c r="Q1113">
        <f>IF(OR(ТабПозиции[[#This Row],[item]]="По штрихкоду",ТабПозиции[[#This Row],[item]]="Посылка"),ТабПозиции[[#This Row],[deliverySumm]]+ТабПозиции[[#This Row],[deliveryPost]],SUM(N1113:P1113))</f>
        <v>1971</v>
      </c>
      <c r="R1113" s="41">
        <v>1971</v>
      </c>
      <c r="S1113" s="46">
        <f>ТабПозиции[[#This Row],[totalSumm]]-ТабПозиции[[#This Row],[payment]]</f>
        <v>0</v>
      </c>
      <c r="T1113" s="18" t="s">
        <v>970</v>
      </c>
      <c r="U1113" s="40" t="s">
        <v>545</v>
      </c>
      <c r="V1113" s="40" t="s">
        <v>545</v>
      </c>
      <c r="W1113" s="40" t="s">
        <v>545</v>
      </c>
      <c r="X1113" s="3"/>
      <c r="Y1113"/>
    </row>
    <row r="1114" spans="1:25" hidden="1" x14ac:dyDescent="0.25">
      <c r="A1114" s="10">
        <v>303</v>
      </c>
      <c r="B1114" s="1">
        <f>IFERROR(VLOOKUP(ТабПозиции[[#This Row],[orderNum]],ТабЗаказы[#Data],MATCH(B$7,ТабЗаказы[#Headers],0),0),"")</f>
        <v>45585</v>
      </c>
      <c r="C1114" t="str">
        <f>MONTH(ТабПозиции[[#This Row],[date]])&amp;"/"&amp;YEAR(ТабПозиции[[#This Row],[date]])</f>
        <v>10/2024</v>
      </c>
      <c r="D1114" s="1" t="str">
        <f>IFERROR(VLOOKUP(ТабПозиции[[#This Row],[orderNum]],ТабЗаказы[#Data],MATCH(D$7,ТабЗаказы[#Headers],0),0),"")</f>
        <v/>
      </c>
      <c r="E1114" s="1" t="str">
        <f>IFERROR(VLOOKUP(ТабПозиции[[#This Row],[orderNum]],ТабЗаказы[#Data],MATCH(E$7,ТабЗаказы[#Headers],0),0),"")</f>
        <v/>
      </c>
      <c r="F1114" s="16" t="s">
        <v>1618</v>
      </c>
      <c r="G1114" s="40" t="s">
        <v>545</v>
      </c>
      <c r="I1114" s="18">
        <v>45591</v>
      </c>
      <c r="J1114" s="10">
        <v>1</v>
      </c>
      <c r="K1114" s="10">
        <v>760</v>
      </c>
      <c r="L1114">
        <v>760</v>
      </c>
      <c r="M1114" s="10">
        <v>800</v>
      </c>
      <c r="N1114">
        <f t="shared" si="21"/>
        <v>800</v>
      </c>
      <c r="P11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Row],[orderNum]],ТабПозиции[orderSumm])&gt;1500),ABS(N1114*VLOOKUP(ТабПозиции[[#This Row],[orderNum]],ТабЗаказы[#Data],MATCH("Percent",ТабЗаказы[#Headers],0),0))/100,200/COUNTIF(ТабПозиции[orderNum],ТабПозиции[[#This Row],[orderNum]])),0),"")</f>
        <v>80</v>
      </c>
      <c r="Q1114">
        <f>IF(OR(ТабПозиции[[#This Row],[item]]="По штрихкоду",ТабПозиции[[#This Row],[item]]="Посылка"),ТабПозиции[[#This Row],[deliverySumm]]+ТабПозиции[[#This Row],[deliveryPost]],SUM(N1114:P1114))</f>
        <v>880</v>
      </c>
      <c r="R1114" s="41">
        <v>880</v>
      </c>
      <c r="S1114" s="46">
        <f>ТабПозиции[[#This Row],[totalSumm]]-ТабПозиции[[#This Row],[payment]]</f>
        <v>0</v>
      </c>
      <c r="T1114" s="18" t="s">
        <v>970</v>
      </c>
      <c r="U1114" s="40" t="s">
        <v>545</v>
      </c>
      <c r="V1114" s="40" t="s">
        <v>545</v>
      </c>
      <c r="W1114" s="40" t="s">
        <v>545</v>
      </c>
      <c r="X1114" s="3"/>
      <c r="Y1114"/>
    </row>
    <row r="1115" spans="1:25" hidden="1" x14ac:dyDescent="0.25">
      <c r="A1115" s="10">
        <v>303</v>
      </c>
      <c r="B1115" s="1">
        <f>IFERROR(VLOOKUP(ТабПозиции[[#This Row],[orderNum]],ТабЗаказы[#Data],MATCH(B$7,ТабЗаказы[#Headers],0),0),"")</f>
        <v>45585</v>
      </c>
      <c r="C1115" t="str">
        <f>MONTH(ТабПозиции[[#This Row],[date]])&amp;"/"&amp;YEAR(ТабПозиции[[#This Row],[date]])</f>
        <v>10/2024</v>
      </c>
      <c r="D1115" s="1" t="str">
        <f>IFERROR(VLOOKUP(ТабПозиции[[#This Row],[orderNum]],ТабЗаказы[#Data],MATCH(D$7,ТабЗаказы[#Headers],0),0),"")</f>
        <v/>
      </c>
      <c r="E1115" s="1" t="str">
        <f>IFERROR(VLOOKUP(ТабПозиции[[#This Row],[orderNum]],ТабЗаказы[#Data],MATCH(E$7,ТабЗаказы[#Headers],0),0),"")</f>
        <v/>
      </c>
      <c r="F1115" s="16" t="s">
        <v>1619</v>
      </c>
      <c r="G1115" s="40" t="s">
        <v>545</v>
      </c>
      <c r="I1115" s="18">
        <v>45590</v>
      </c>
      <c r="J1115" s="10">
        <v>1</v>
      </c>
      <c r="K1115" s="10">
        <v>390</v>
      </c>
      <c r="L1115">
        <v>390</v>
      </c>
      <c r="M1115" s="10">
        <v>411</v>
      </c>
      <c r="N1115">
        <f t="shared" si="21"/>
        <v>411</v>
      </c>
      <c r="P11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Row],[orderNum]],ТабПозиции[orderSumm])&gt;1500),ABS(N1115*VLOOKUP(ТабПозиции[[#This Row],[orderNum]],ТабЗаказы[#Data],MATCH("Percent",ТабЗаказы[#Headers],0),0))/100,200/COUNTIF(ТабПозиции[orderNum],ТабПозиции[[#This Row],[orderNum]])),0),"")</f>
        <v>41</v>
      </c>
      <c r="Q1115">
        <f>IF(OR(ТабПозиции[[#This Row],[item]]="По штрихкоду",ТабПозиции[[#This Row],[item]]="Посылка"),ТабПозиции[[#This Row],[deliverySumm]]+ТабПозиции[[#This Row],[deliveryPost]],SUM(N1115:P1115))</f>
        <v>452</v>
      </c>
      <c r="R1115" s="41">
        <v>452</v>
      </c>
      <c r="S1115" s="46">
        <f>ТабПозиции[[#This Row],[totalSumm]]-ТабПозиции[[#This Row],[payment]]</f>
        <v>0</v>
      </c>
      <c r="T1115" s="18" t="s">
        <v>970</v>
      </c>
      <c r="U1115" s="40" t="s">
        <v>545</v>
      </c>
      <c r="V1115" s="40" t="s">
        <v>545</v>
      </c>
      <c r="W1115" s="40" t="s">
        <v>545</v>
      </c>
      <c r="X1115" s="3"/>
      <c r="Y1115"/>
    </row>
    <row r="1116" spans="1:25" hidden="1" x14ac:dyDescent="0.25">
      <c r="A1116" s="10">
        <v>305</v>
      </c>
      <c r="B1116" s="1">
        <f>IFERROR(VLOOKUP(ТабПозиции[[#This Row],[orderNum]],ТабЗаказы[#Data],MATCH(B$7,ТабЗаказы[#Headers],0),0),"")</f>
        <v>45586</v>
      </c>
      <c r="C1116" t="str">
        <f>MONTH(ТабПозиции[[#This Row],[date]])&amp;"/"&amp;YEAR(ТабПозиции[[#This Row],[date]])</f>
        <v>10/2024</v>
      </c>
      <c r="D1116" s="1" t="str">
        <f>IFERROR(VLOOKUP(ТабПозиции[[#This Row],[orderNum]],ТабЗаказы[#Data],MATCH(D$7,ТабЗаказы[#Headers],0),0),"")</f>
        <v/>
      </c>
      <c r="E1116" s="1" t="str">
        <f>IFERROR(VLOOKUP(ТабПозиции[[#This Row],[orderNum]],ТабЗаказы[#Data],MATCH(E$7,ТабЗаказы[#Headers],0),0),"")</f>
        <v/>
      </c>
      <c r="F1116" s="16" t="s">
        <v>728</v>
      </c>
      <c r="G1116" s="40" t="s">
        <v>545</v>
      </c>
      <c r="I1116" s="18">
        <v>45588</v>
      </c>
      <c r="J1116" s="10">
        <v>1</v>
      </c>
      <c r="K1116" s="10">
        <v>681</v>
      </c>
      <c r="L1116">
        <v>681</v>
      </c>
      <c r="M1116" s="10">
        <v>717</v>
      </c>
      <c r="N1116">
        <f t="shared" si="21"/>
        <v>717</v>
      </c>
      <c r="P11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Row],[orderNum]],ТабПозиции[orderSumm])&gt;1500),ABS(N1116*VLOOKUP(ТабПозиции[[#This Row],[orderNum]],ТабЗаказы[#Data],MATCH("Percent",ТабЗаказы[#Headers],0),0))/100,200/COUNTIF(ТабПозиции[orderNum],ТабПозиции[[#This Row],[orderNum]])),0),"")</f>
        <v>72</v>
      </c>
      <c r="Q1116">
        <f>IF(OR(ТабПозиции[[#This Row],[item]]="По штрихкоду",ТабПозиции[[#This Row],[item]]="Посылка"),ТабПозиции[[#This Row],[deliverySumm]]+ТабПозиции[[#This Row],[deliveryPost]],SUM(N1116:P1116))</f>
        <v>789</v>
      </c>
      <c r="R1116" s="41">
        <v>789</v>
      </c>
      <c r="S1116" s="46">
        <f>ТабПозиции[[#This Row],[totalSumm]]-ТабПозиции[[#This Row],[payment]]</f>
        <v>0</v>
      </c>
      <c r="T1116" s="18" t="s">
        <v>970</v>
      </c>
      <c r="U1116" s="40" t="s">
        <v>545</v>
      </c>
      <c r="V1116" s="40" t="s">
        <v>545</v>
      </c>
      <c r="W1116" s="40" t="s">
        <v>545</v>
      </c>
      <c r="X1116" s="3"/>
      <c r="Y1116"/>
    </row>
    <row r="1117" spans="1:25" hidden="1" x14ac:dyDescent="0.25">
      <c r="A1117" s="10">
        <v>305</v>
      </c>
      <c r="B1117" s="1">
        <f>IFERROR(VLOOKUP(ТабПозиции[[#This Row],[orderNum]],ТабЗаказы[#Data],MATCH(B$7,ТабЗаказы[#Headers],0),0),"")</f>
        <v>45586</v>
      </c>
      <c r="C1117" t="str">
        <f>MONTH(ТабПозиции[[#This Row],[date]])&amp;"/"&amp;YEAR(ТабПозиции[[#This Row],[date]])</f>
        <v>10/2024</v>
      </c>
      <c r="D1117" s="1" t="str">
        <f>IFERROR(VLOOKUP(ТабПозиции[[#This Row],[orderNum]],ТабЗаказы[#Data],MATCH(D$7,ТабЗаказы[#Headers],0),0),"")</f>
        <v/>
      </c>
      <c r="E1117" s="1" t="str">
        <f>IFERROR(VLOOKUP(ТабПозиции[[#This Row],[orderNum]],ТабЗаказы[#Data],MATCH(E$7,ТабЗаказы[#Headers],0),0),"")</f>
        <v/>
      </c>
      <c r="F1117" s="16" t="s">
        <v>1620</v>
      </c>
      <c r="G1117" s="40" t="s">
        <v>545</v>
      </c>
      <c r="I1117" s="18">
        <v>45588</v>
      </c>
      <c r="J1117" s="10">
        <v>1</v>
      </c>
      <c r="K1117" s="10">
        <v>311</v>
      </c>
      <c r="L1117">
        <v>311</v>
      </c>
      <c r="M1117" s="10">
        <v>328</v>
      </c>
      <c r="N1117">
        <f t="shared" si="21"/>
        <v>328</v>
      </c>
      <c r="P11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Row],[orderNum]],ТабПозиции[orderSumm])&gt;1500),ABS(N1117*VLOOKUP(ТабПозиции[[#This Row],[orderNum]],ТабЗаказы[#Data],MATCH("Percent",ТабЗаказы[#Headers],0),0))/100,200/COUNTIF(ТабПозиции[orderNum],ТабПозиции[[#This Row],[orderNum]])),0),"")</f>
        <v>33</v>
      </c>
      <c r="Q1117">
        <f>IF(OR(ТабПозиции[[#This Row],[item]]="По штрихкоду",ТабПозиции[[#This Row],[item]]="Посылка"),ТабПозиции[[#This Row],[deliverySumm]]+ТабПозиции[[#This Row],[deliveryPost]],SUM(N1117:P1117))</f>
        <v>361</v>
      </c>
      <c r="R1117" s="41">
        <v>361</v>
      </c>
      <c r="S1117" s="46">
        <f>ТабПозиции[[#This Row],[totalSumm]]-ТабПозиции[[#This Row],[payment]]</f>
        <v>0</v>
      </c>
      <c r="T1117" s="18" t="s">
        <v>970</v>
      </c>
      <c r="U1117" s="40" t="s">
        <v>545</v>
      </c>
      <c r="V1117" s="40" t="s">
        <v>545</v>
      </c>
      <c r="W1117" s="40" t="s">
        <v>545</v>
      </c>
      <c r="X1117" s="3"/>
      <c r="Y1117"/>
    </row>
    <row r="1118" spans="1:25" hidden="1" x14ac:dyDescent="0.25">
      <c r="A1118" s="10">
        <v>305</v>
      </c>
      <c r="B1118" s="1">
        <f>IFERROR(VLOOKUP(ТабПозиции[[#This Row],[orderNum]],ТабЗаказы[#Data],MATCH(B$7,ТабЗаказы[#Headers],0),0),"")</f>
        <v>45586</v>
      </c>
      <c r="C1118" t="str">
        <f>MONTH(ТабПозиции[[#This Row],[date]])&amp;"/"&amp;YEAR(ТабПозиции[[#This Row],[date]])</f>
        <v>10/2024</v>
      </c>
      <c r="D1118" s="1" t="str">
        <f>IFERROR(VLOOKUP(ТабПозиции[[#This Row],[orderNum]],ТабЗаказы[#Data],MATCH(D$7,ТабЗаказы[#Headers],0),0),"")</f>
        <v/>
      </c>
      <c r="E1118" s="1" t="str">
        <f>IFERROR(VLOOKUP(ТабПозиции[[#This Row],[orderNum]],ТабЗаказы[#Data],MATCH(E$7,ТабЗаказы[#Headers],0),0),"")</f>
        <v/>
      </c>
      <c r="F1118" s="16" t="s">
        <v>1621</v>
      </c>
      <c r="G1118" s="40" t="s">
        <v>545</v>
      </c>
      <c r="I1118" s="18">
        <v>45588</v>
      </c>
      <c r="J1118" s="10">
        <v>1</v>
      </c>
      <c r="K1118" s="10">
        <v>311</v>
      </c>
      <c r="L1118">
        <v>311</v>
      </c>
      <c r="M1118" s="10">
        <v>328</v>
      </c>
      <c r="N1118">
        <f t="shared" si="21"/>
        <v>328</v>
      </c>
      <c r="P11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Row],[orderNum]],ТабПозиции[orderSumm])&gt;1500),ABS(N1118*VLOOKUP(ТабПозиции[[#This Row],[orderNum]],ТабЗаказы[#Data],MATCH("Percent",ТабЗаказы[#Headers],0),0))/100,200/COUNTIF(ТабПозиции[orderNum],ТабПозиции[[#This Row],[orderNum]])),0),"")</f>
        <v>33</v>
      </c>
      <c r="Q1118">
        <f>IF(OR(ТабПозиции[[#This Row],[item]]="По штрихкоду",ТабПозиции[[#This Row],[item]]="Посылка"),ТабПозиции[[#This Row],[deliverySumm]]+ТабПозиции[[#This Row],[deliveryPost]],SUM(N1118:P1118))</f>
        <v>361</v>
      </c>
      <c r="R1118" s="41">
        <v>361</v>
      </c>
      <c r="S1118" s="46">
        <f>ТабПозиции[[#This Row],[totalSumm]]-ТабПозиции[[#This Row],[payment]]</f>
        <v>0</v>
      </c>
      <c r="T1118" s="18" t="s">
        <v>970</v>
      </c>
      <c r="U1118" s="40" t="s">
        <v>545</v>
      </c>
      <c r="V1118" s="40" t="s">
        <v>545</v>
      </c>
      <c r="W1118" s="40" t="s">
        <v>545</v>
      </c>
      <c r="X1118" s="3"/>
      <c r="Y1118"/>
    </row>
    <row r="1119" spans="1:25" hidden="1" x14ac:dyDescent="0.25">
      <c r="A1119" s="10">
        <v>305</v>
      </c>
      <c r="B1119" s="1">
        <f>IFERROR(VLOOKUP(ТабПозиции[[#This Row],[orderNum]],ТабЗаказы[#Data],MATCH(B$7,ТабЗаказы[#Headers],0),0),"")</f>
        <v>45586</v>
      </c>
      <c r="C1119" t="str">
        <f>MONTH(ТабПозиции[[#This Row],[date]])&amp;"/"&amp;YEAR(ТабПозиции[[#This Row],[date]])</f>
        <v>10/2024</v>
      </c>
      <c r="D1119" s="1" t="str">
        <f>IFERROR(VLOOKUP(ТабПозиции[[#This Row],[orderNum]],ТабЗаказы[#Data],MATCH(D$7,ТабЗаказы[#Headers],0),0),"")</f>
        <v/>
      </c>
      <c r="E1119" s="1" t="str">
        <f>IFERROR(VLOOKUP(ТабПозиции[[#This Row],[orderNum]],ТабЗаказы[#Data],MATCH(E$7,ТабЗаказы[#Headers],0),0),"")</f>
        <v/>
      </c>
      <c r="F1119" s="16" t="s">
        <v>1622</v>
      </c>
      <c r="G1119" s="40" t="s">
        <v>545</v>
      </c>
      <c r="I1119" s="18">
        <v>45588</v>
      </c>
      <c r="J1119" s="10">
        <v>1</v>
      </c>
      <c r="K1119" s="10">
        <v>311</v>
      </c>
      <c r="L1119">
        <v>311</v>
      </c>
      <c r="M1119" s="10">
        <v>328</v>
      </c>
      <c r="N1119">
        <f t="shared" si="21"/>
        <v>328</v>
      </c>
      <c r="P11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Row],[orderNum]],ТабПозиции[orderSumm])&gt;1500),ABS(N1119*VLOOKUP(ТабПозиции[[#This Row],[orderNum]],ТабЗаказы[#Data],MATCH("Percent",ТабЗаказы[#Headers],0),0))/100,200/COUNTIF(ТабПозиции[orderNum],ТабПозиции[[#This Row],[orderNum]])),0),"")</f>
        <v>33</v>
      </c>
      <c r="Q1119">
        <f>IF(OR(ТабПозиции[[#This Row],[item]]="По штрихкоду",ТабПозиции[[#This Row],[item]]="Посылка"),ТабПозиции[[#This Row],[deliverySumm]]+ТабПозиции[[#This Row],[deliveryPost]],SUM(N1119:P1119))</f>
        <v>361</v>
      </c>
      <c r="R1119" s="41">
        <v>361</v>
      </c>
      <c r="S1119" s="46">
        <f>ТабПозиции[[#This Row],[totalSumm]]-ТабПозиции[[#This Row],[payment]]</f>
        <v>0</v>
      </c>
      <c r="T1119" s="18" t="s">
        <v>970</v>
      </c>
      <c r="U1119" s="40" t="s">
        <v>545</v>
      </c>
      <c r="V1119" s="40" t="s">
        <v>545</v>
      </c>
      <c r="W1119" s="40" t="s">
        <v>545</v>
      </c>
      <c r="X1119" s="3"/>
      <c r="Y1119"/>
    </row>
    <row r="1120" spans="1:25" hidden="1" x14ac:dyDescent="0.25">
      <c r="A1120" s="10">
        <v>306</v>
      </c>
      <c r="B1120" s="1">
        <f>IFERROR(VLOOKUP(ТабПозиции[[#This Row],[orderNum]],ТабЗаказы[#Data],MATCH(B$7,ТабЗаказы[#Headers],0),0),"")</f>
        <v>45588</v>
      </c>
      <c r="C1120" t="str">
        <f>MONTH(ТабПозиции[[#This Row],[date]])&amp;"/"&amp;YEAR(ТабПозиции[[#This Row],[date]])</f>
        <v>10/2024</v>
      </c>
      <c r="D1120" s="1" t="str">
        <f>IFERROR(VLOOKUP(ТабПозиции[[#This Row],[orderNum]],ТабЗаказы[#Data],MATCH(D$7,ТабЗаказы[#Headers],0),0),"")</f>
        <v/>
      </c>
      <c r="E1120" s="1" t="str">
        <f>IFERROR(VLOOKUP(ТабПозиции[[#This Row],[orderNum]],ТабЗаказы[#Data],MATCH(E$7,ТабЗаказы[#Headers],0),0),"")</f>
        <v/>
      </c>
      <c r="F1120" s="16" t="s">
        <v>1623</v>
      </c>
      <c r="G1120" s="40" t="s">
        <v>545</v>
      </c>
      <c r="I1120" s="18">
        <v>45590</v>
      </c>
      <c r="J1120" s="10">
        <v>1</v>
      </c>
      <c r="K1120" s="10">
        <v>249</v>
      </c>
      <c r="L1120">
        <v>249</v>
      </c>
      <c r="M1120" s="10">
        <v>263</v>
      </c>
      <c r="N1120">
        <f t="shared" si="21"/>
        <v>263</v>
      </c>
      <c r="P11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Row],[orderNum]],ТабПозиции[orderSumm])&gt;1500),ABS(N1120*VLOOKUP(ТабПозиции[[#This Row],[orderNum]],ТабЗаказы[#Data],MATCH("Percent",ТабЗаказы[#Headers],0),0))/100,200/COUNTIF(ТабПозиции[orderNum],ТабПозиции[[#This Row],[orderNum]])),0),"")</f>
        <v>39</v>
      </c>
      <c r="Q1120">
        <f>IF(OR(ТабПозиции[[#This Row],[item]]="По штрихкоду",ТабПозиции[[#This Row],[item]]="Посылка"),ТабПозиции[[#This Row],[deliverySumm]]+ТабПозиции[[#This Row],[deliveryPost]],SUM(N1120:P1120))</f>
        <v>302</v>
      </c>
      <c r="R1120" s="41">
        <v>302</v>
      </c>
      <c r="S1120" s="46">
        <f>ТабПозиции[[#This Row],[totalSumm]]-ТабПозиции[[#This Row],[payment]]</f>
        <v>0</v>
      </c>
      <c r="T1120" s="18" t="s">
        <v>970</v>
      </c>
      <c r="U1120" s="40" t="s">
        <v>545</v>
      </c>
      <c r="V1120" s="40" t="s">
        <v>545</v>
      </c>
      <c r="W1120" s="40" t="s">
        <v>545</v>
      </c>
      <c r="X1120" s="3"/>
      <c r="Y1120"/>
    </row>
    <row r="1121" spans="1:25" hidden="1" x14ac:dyDescent="0.25">
      <c r="A1121" s="10">
        <v>306</v>
      </c>
      <c r="B1121" s="1">
        <f>IFERROR(VLOOKUP(ТабПозиции[[#This Row],[orderNum]],ТабЗаказы[#Data],MATCH(B$7,ТабЗаказы[#Headers],0),0),"")</f>
        <v>45588</v>
      </c>
      <c r="C1121" t="str">
        <f>MONTH(ТабПозиции[[#This Row],[date]])&amp;"/"&amp;YEAR(ТабПозиции[[#This Row],[date]])</f>
        <v>10/2024</v>
      </c>
      <c r="D1121" s="1" t="str">
        <f>IFERROR(VLOOKUP(ТабПозиции[[#This Row],[orderNum]],ТабЗаказы[#Data],MATCH(D$7,ТабЗаказы[#Headers],0),0),"")</f>
        <v/>
      </c>
      <c r="E1121" s="1" t="str">
        <f>IFERROR(VLOOKUP(ТабПозиции[[#This Row],[orderNum]],ТабЗаказы[#Data],MATCH(E$7,ТабЗаказы[#Headers],0),0),"")</f>
        <v/>
      </c>
      <c r="F1121" s="16" t="s">
        <v>1217</v>
      </c>
      <c r="G1121" s="40" t="s">
        <v>545</v>
      </c>
      <c r="I1121" s="18">
        <v>45599</v>
      </c>
      <c r="J1121" s="10">
        <v>1</v>
      </c>
      <c r="K1121" s="10">
        <v>584</v>
      </c>
      <c r="L1121">
        <v>584</v>
      </c>
      <c r="M1121" s="10">
        <v>615</v>
      </c>
      <c r="N1121">
        <f t="shared" si="21"/>
        <v>615</v>
      </c>
      <c r="P11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Row],[orderNum]],ТабПозиции[orderSumm])&gt;1500),ABS(N1121*VLOOKUP(ТабПозиции[[#This Row],[orderNum]],ТабЗаказы[#Data],MATCH("Percent",ТабЗаказы[#Headers],0),0))/100,200/COUNTIF(ТабПозиции[orderNum],ТабПозиции[[#This Row],[orderNum]])),0),"")</f>
        <v>92</v>
      </c>
      <c r="Q1121">
        <f>IF(OR(ТабПозиции[[#This Row],[item]]="По штрихкоду",ТабПозиции[[#This Row],[item]]="Посылка"),ТабПозиции[[#This Row],[deliverySumm]]+ТабПозиции[[#This Row],[deliveryPost]],SUM(N1121:P1121))</f>
        <v>707</v>
      </c>
      <c r="R1121" s="41">
        <v>707</v>
      </c>
      <c r="S1121" s="46">
        <f>ТабПозиции[[#This Row],[totalSumm]]-ТабПозиции[[#This Row],[payment]]</f>
        <v>0</v>
      </c>
      <c r="T1121" s="18" t="s">
        <v>970</v>
      </c>
      <c r="U1121" s="40" t="s">
        <v>545</v>
      </c>
      <c r="V1121" s="40" t="s">
        <v>545</v>
      </c>
      <c r="W1121" s="40" t="s">
        <v>545</v>
      </c>
      <c r="X1121" s="3"/>
      <c r="Y1121"/>
    </row>
    <row r="1122" spans="1:25" hidden="1" x14ac:dyDescent="0.25">
      <c r="A1122" s="10">
        <v>306</v>
      </c>
      <c r="B1122" s="1">
        <f>IFERROR(VLOOKUP(ТабПозиции[[#This Row],[orderNum]],ТабЗаказы[#Data],MATCH(B$7,ТабЗаказы[#Headers],0),0),"")</f>
        <v>45588</v>
      </c>
      <c r="C1122" t="str">
        <f>MONTH(ТабПозиции[[#This Row],[date]])&amp;"/"&amp;YEAR(ТабПозиции[[#This Row],[date]])</f>
        <v>10/2024</v>
      </c>
      <c r="D1122" s="1" t="str">
        <f>IFERROR(VLOOKUP(ТабПозиции[[#This Row],[orderNum]],ТабЗаказы[#Data],MATCH(D$7,ТабЗаказы[#Headers],0),0),"")</f>
        <v/>
      </c>
      <c r="E1122" s="1" t="str">
        <f>IFERROR(VLOOKUP(ТабПозиции[[#This Row],[orderNum]],ТабЗаказы[#Data],MATCH(E$7,ТабЗаказы[#Headers],0),0),"")</f>
        <v/>
      </c>
      <c r="F1122" s="16" t="s">
        <v>1217</v>
      </c>
      <c r="G1122" s="40" t="s">
        <v>545</v>
      </c>
      <c r="I1122" s="18">
        <v>45591</v>
      </c>
      <c r="J1122" s="10">
        <v>1</v>
      </c>
      <c r="K1122" s="10">
        <v>538</v>
      </c>
      <c r="L1122">
        <v>538</v>
      </c>
      <c r="M1122" s="10">
        <v>567</v>
      </c>
      <c r="N1122">
        <f t="shared" si="21"/>
        <v>567</v>
      </c>
      <c r="P11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Row],[orderNum]],ТабПозиции[orderSumm])&gt;1500),ABS(N1122*VLOOKUP(ТабПозиции[[#This Row],[orderNum]],ТабЗаказы[#Data],MATCH("Percent",ТабЗаказы[#Headers],0),0))/100,200/COUNTIF(ТабПозиции[orderNum],ТабПозиции[[#This Row],[orderNum]])),0),"")</f>
        <v>85</v>
      </c>
      <c r="Q1122">
        <f>IF(OR(ТабПозиции[[#This Row],[item]]="По штрихкоду",ТабПозиции[[#This Row],[item]]="Посылка"),ТабПозиции[[#This Row],[deliverySumm]]+ТабПозиции[[#This Row],[deliveryPost]],SUM(N1122:P1122))</f>
        <v>652</v>
      </c>
      <c r="R1122" s="41">
        <v>652</v>
      </c>
      <c r="S1122" s="46">
        <f>ТабПозиции[[#This Row],[totalSumm]]-ТабПозиции[[#This Row],[payment]]</f>
        <v>0</v>
      </c>
      <c r="T1122" s="18" t="s">
        <v>970</v>
      </c>
      <c r="U1122" s="40" t="s">
        <v>545</v>
      </c>
      <c r="V1122" s="40" t="s">
        <v>545</v>
      </c>
      <c r="W1122" s="40" t="s">
        <v>545</v>
      </c>
      <c r="X1122" s="3"/>
      <c r="Y1122"/>
    </row>
    <row r="1123" spans="1:25" hidden="1" x14ac:dyDescent="0.25">
      <c r="A1123" s="10">
        <v>306</v>
      </c>
      <c r="B1123" s="1">
        <f>IFERROR(VLOOKUP(ТабПозиции[[#This Row],[orderNum]],ТабЗаказы[#Data],MATCH(B$7,ТабЗаказы[#Headers],0),0),"")</f>
        <v>45588</v>
      </c>
      <c r="C1123" t="str">
        <f>MONTH(ТабПозиции[[#This Row],[date]])&amp;"/"&amp;YEAR(ТабПозиции[[#This Row],[date]])</f>
        <v>10/2024</v>
      </c>
      <c r="D1123" s="1" t="str">
        <f>IFERROR(VLOOKUP(ТабПозиции[[#This Row],[orderNum]],ТабЗаказы[#Data],MATCH(D$7,ТабЗаказы[#Headers],0),0),"")</f>
        <v/>
      </c>
      <c r="E1123" s="1" t="str">
        <f>IFERROR(VLOOKUP(ТабПозиции[[#This Row],[orderNum]],ТабЗаказы[#Data],MATCH(E$7,ТабЗаказы[#Headers],0),0),"")</f>
        <v/>
      </c>
      <c r="F1123" s="16" t="s">
        <v>1624</v>
      </c>
      <c r="G1123" s="40" t="s">
        <v>545</v>
      </c>
      <c r="I1123" s="18">
        <v>45592</v>
      </c>
      <c r="J1123" s="10">
        <v>1</v>
      </c>
      <c r="K1123" s="10">
        <v>542</v>
      </c>
      <c r="L1123">
        <v>542</v>
      </c>
      <c r="M1123" s="10">
        <v>571</v>
      </c>
      <c r="N1123">
        <f t="shared" si="21"/>
        <v>571</v>
      </c>
      <c r="P11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Row],[orderNum]],ТабПозиции[orderSumm])&gt;1500),ABS(N1123*VLOOKUP(ТабПозиции[[#This Row],[orderNum]],ТабЗаказы[#Data],MATCH("Percent",ТабЗаказы[#Headers],0),0))/100,200/COUNTIF(ТабПозиции[orderNum],ТабПозиции[[#This Row],[orderNum]])),0),"")</f>
        <v>86</v>
      </c>
      <c r="Q1123">
        <f>IF(OR(ТабПозиции[[#This Row],[item]]="По штрихкоду",ТабПозиции[[#This Row],[item]]="Посылка"),ТабПозиции[[#This Row],[deliverySumm]]+ТабПозиции[[#This Row],[deliveryPost]],SUM(N1123:P1123))</f>
        <v>657</v>
      </c>
      <c r="R1123" s="41">
        <v>657</v>
      </c>
      <c r="S1123" s="46">
        <f>ТабПозиции[[#This Row],[totalSumm]]-ТабПозиции[[#This Row],[payment]]</f>
        <v>0</v>
      </c>
      <c r="T1123" s="18" t="s">
        <v>970</v>
      </c>
      <c r="U1123" s="40" t="s">
        <v>545</v>
      </c>
      <c r="V1123" s="40" t="s">
        <v>545</v>
      </c>
      <c r="W1123" s="40" t="s">
        <v>545</v>
      </c>
      <c r="X1123" s="3"/>
      <c r="Y1123"/>
    </row>
    <row r="1124" spans="1:25" hidden="1" x14ac:dyDescent="0.25">
      <c r="A1124" s="10">
        <v>306</v>
      </c>
      <c r="B1124" s="1">
        <f>IFERROR(VLOOKUP(ТабПозиции[[#This Row],[orderNum]],ТабЗаказы[#Data],MATCH(B$7,ТабЗаказы[#Headers],0),0),"")</f>
        <v>45588</v>
      </c>
      <c r="C1124" t="str">
        <f>MONTH(ТабПозиции[[#This Row],[date]])&amp;"/"&amp;YEAR(ТабПозиции[[#This Row],[date]])</f>
        <v>10/2024</v>
      </c>
      <c r="D1124" s="1" t="str">
        <f>IFERROR(VLOOKUP(ТабПозиции[[#This Row],[orderNum]],ТабЗаказы[#Data],MATCH(D$7,ТабЗаказы[#Headers],0),0),"")</f>
        <v/>
      </c>
      <c r="E1124" s="1" t="str">
        <f>IFERROR(VLOOKUP(ТабПозиции[[#This Row],[orderNum]],ТабЗаказы[#Data],MATCH(E$7,ТабЗаказы[#Headers],0),0),"")</f>
        <v/>
      </c>
      <c r="F1124" s="16" t="s">
        <v>1625</v>
      </c>
      <c r="G1124" s="40" t="s">
        <v>545</v>
      </c>
      <c r="I1124" s="18">
        <v>45590</v>
      </c>
      <c r="J1124" s="10">
        <v>1</v>
      </c>
      <c r="K1124" s="10">
        <v>442</v>
      </c>
      <c r="L1124">
        <v>442</v>
      </c>
      <c r="M1124" s="10">
        <v>466</v>
      </c>
      <c r="N1124">
        <f t="shared" si="21"/>
        <v>466</v>
      </c>
      <c r="P11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Row],[orderNum]],ТабПозиции[orderSumm])&gt;1500),ABS(N1124*VLOOKUP(ТабПозиции[[#This Row],[orderNum]],ТабЗаказы[#Data],MATCH("Percent",ТабЗаказы[#Headers],0),0))/100,200/COUNTIF(ТабПозиции[orderNum],ТабПозиции[[#This Row],[orderNum]])),0),"")</f>
        <v>70</v>
      </c>
      <c r="Q1124">
        <f>IF(OR(ТабПозиции[[#This Row],[item]]="По штрихкоду",ТабПозиции[[#This Row],[item]]="Посылка"),ТабПозиции[[#This Row],[deliverySumm]]+ТабПозиции[[#This Row],[deliveryPost]],SUM(N1124:P1124))</f>
        <v>536</v>
      </c>
      <c r="R1124" s="41">
        <v>536</v>
      </c>
      <c r="S1124" s="46">
        <f>ТабПозиции[[#This Row],[totalSumm]]-ТабПозиции[[#This Row],[payment]]</f>
        <v>0</v>
      </c>
      <c r="T1124" s="18" t="s">
        <v>970</v>
      </c>
      <c r="U1124" s="40" t="s">
        <v>545</v>
      </c>
      <c r="V1124" s="40" t="s">
        <v>545</v>
      </c>
      <c r="W1124" s="40" t="s">
        <v>545</v>
      </c>
      <c r="X1124" s="3"/>
      <c r="Y1124"/>
    </row>
    <row r="1125" spans="1:25" hidden="1" x14ac:dyDescent="0.25">
      <c r="A1125" s="10">
        <v>307</v>
      </c>
      <c r="B1125" s="1">
        <f>IFERROR(VLOOKUP(ТабПозиции[[#This Row],[orderNum]],ТабЗаказы[#Data],MATCH(B$7,ТабЗаказы[#Headers],0),0),"")</f>
        <v>45588</v>
      </c>
      <c r="C1125" t="str">
        <f>MONTH(ТабПозиции[[#This Row],[date]])&amp;"/"&amp;YEAR(ТабПозиции[[#This Row],[date]])</f>
        <v>10/2024</v>
      </c>
      <c r="D1125" s="1" t="str">
        <f>IFERROR(VLOOKUP(ТабПозиции[[#This Row],[orderNum]],ТабЗаказы[#Data],MATCH(D$7,ТабЗаказы[#Headers],0),0),"")</f>
        <v/>
      </c>
      <c r="E1125" s="1" t="str">
        <f>IFERROR(VLOOKUP(ТабПозиции[[#This Row],[orderNum]],ТабЗаказы[#Data],MATCH(E$7,ТабЗаказы[#Headers],0),0),"")</f>
        <v/>
      </c>
      <c r="F1125" s="16" t="s">
        <v>1626</v>
      </c>
      <c r="G1125" s="40" t="s">
        <v>545</v>
      </c>
      <c r="I1125" s="18">
        <v>45598</v>
      </c>
      <c r="J1125" s="10">
        <v>1</v>
      </c>
      <c r="K1125" s="10">
        <v>149</v>
      </c>
      <c r="L1125">
        <v>149</v>
      </c>
      <c r="M1125" s="10">
        <v>157</v>
      </c>
      <c r="N1125">
        <f t="shared" si="21"/>
        <v>157</v>
      </c>
      <c r="P11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Row],[orderNum]],ТабПозиции[orderSumm])&gt;1500),ABS(N1125*VLOOKUP(ТабПозиции[[#This Row],[orderNum]],ТабЗаказы[#Data],MATCH("Percent",ТабЗаказы[#Headers],0),0))/100,200/COUNTIF(ТабПозиции[orderNum],ТабПозиции[[#This Row],[orderNum]])),0),"")</f>
        <v>24</v>
      </c>
      <c r="Q1125">
        <f>IF(OR(ТабПозиции[[#This Row],[item]]="По штрихкоду",ТабПозиции[[#This Row],[item]]="Посылка"),ТабПозиции[[#This Row],[deliverySumm]]+ТабПозиции[[#This Row],[deliveryPost]],SUM(N1125:P1125))</f>
        <v>181</v>
      </c>
      <c r="R1125" s="41">
        <v>181</v>
      </c>
      <c r="S1125" s="46">
        <f>ТабПозиции[[#This Row],[totalSumm]]-ТабПозиции[[#This Row],[payment]]</f>
        <v>0</v>
      </c>
      <c r="T1125" s="18" t="s">
        <v>970</v>
      </c>
      <c r="U1125" s="40" t="s">
        <v>545</v>
      </c>
      <c r="V1125" s="40" t="s">
        <v>545</v>
      </c>
      <c r="W1125" s="40" t="s">
        <v>545</v>
      </c>
      <c r="X1125" s="3"/>
      <c r="Y1125"/>
    </row>
    <row r="1126" spans="1:25" hidden="1" x14ac:dyDescent="0.25">
      <c r="A1126" s="10">
        <v>307</v>
      </c>
      <c r="B1126" s="1">
        <f>IFERROR(VLOOKUP(ТабПозиции[[#This Row],[orderNum]],ТабЗаказы[#Data],MATCH(B$7,ТабЗаказы[#Headers],0),0),"")</f>
        <v>45588</v>
      </c>
      <c r="C1126" t="str">
        <f>MONTH(ТабПозиции[[#This Row],[date]])&amp;"/"&amp;YEAR(ТабПозиции[[#This Row],[date]])</f>
        <v>10/2024</v>
      </c>
      <c r="D1126" s="1" t="str">
        <f>IFERROR(VLOOKUP(ТабПозиции[[#This Row],[orderNum]],ТабЗаказы[#Data],MATCH(D$7,ТабЗаказы[#Headers],0),0),"")</f>
        <v/>
      </c>
      <c r="E1126" s="1" t="str">
        <f>IFERROR(VLOOKUP(ТабПозиции[[#This Row],[orderNum]],ТабЗаказы[#Data],MATCH(E$7,ТабЗаказы[#Headers],0),0),"")</f>
        <v/>
      </c>
      <c r="F1126" s="16" t="s">
        <v>1627</v>
      </c>
      <c r="G1126" s="40" t="s">
        <v>545</v>
      </c>
      <c r="I1126" s="18">
        <v>45591</v>
      </c>
      <c r="J1126" s="10">
        <v>1</v>
      </c>
      <c r="K1126" s="10">
        <v>167</v>
      </c>
      <c r="L1126">
        <v>167</v>
      </c>
      <c r="M1126" s="10">
        <v>176</v>
      </c>
      <c r="N1126">
        <f t="shared" si="21"/>
        <v>176</v>
      </c>
      <c r="P11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Row],[orderNum]],ТабПозиции[orderSumm])&gt;1500),ABS(N1126*VLOOKUP(ТабПозиции[[#This Row],[orderNum]],ТабЗаказы[#Data],MATCH("Percent",ТабЗаказы[#Headers],0),0))/100,200/COUNTIF(ТабПозиции[orderNum],ТабПозиции[[#This Row],[orderNum]])),0),"")</f>
        <v>26</v>
      </c>
      <c r="Q1126">
        <f>IF(OR(ТабПозиции[[#This Row],[item]]="По штрихкоду",ТабПозиции[[#This Row],[item]]="Посылка"),ТабПозиции[[#This Row],[deliverySumm]]+ТабПозиции[[#This Row],[deliveryPost]],SUM(N1126:P1126))</f>
        <v>202</v>
      </c>
      <c r="R1126" s="41">
        <v>202</v>
      </c>
      <c r="S1126" s="46">
        <f>ТабПозиции[[#This Row],[totalSumm]]-ТабПозиции[[#This Row],[payment]]</f>
        <v>0</v>
      </c>
      <c r="T1126" s="18" t="s">
        <v>970</v>
      </c>
      <c r="U1126" s="40" t="s">
        <v>545</v>
      </c>
      <c r="V1126" s="40" t="s">
        <v>545</v>
      </c>
      <c r="W1126" s="40" t="s">
        <v>545</v>
      </c>
      <c r="X1126" s="3"/>
      <c r="Y1126"/>
    </row>
    <row r="1127" spans="1:25" hidden="1" x14ac:dyDescent="0.25">
      <c r="A1127" s="10">
        <v>307</v>
      </c>
      <c r="B1127" s="1">
        <f>IFERROR(VLOOKUP(ТабПозиции[[#This Row],[orderNum]],ТабЗаказы[#Data],MATCH(B$7,ТабЗаказы[#Headers],0),0),"")</f>
        <v>45588</v>
      </c>
      <c r="C1127" t="str">
        <f>MONTH(ТабПозиции[[#This Row],[date]])&amp;"/"&amp;YEAR(ТабПозиции[[#This Row],[date]])</f>
        <v>10/2024</v>
      </c>
      <c r="D1127" s="1" t="str">
        <f>IFERROR(VLOOKUP(ТабПозиции[[#This Row],[orderNum]],ТабЗаказы[#Data],MATCH(D$7,ТабЗаказы[#Headers],0),0),"")</f>
        <v/>
      </c>
      <c r="E1127" s="1" t="str">
        <f>IFERROR(VLOOKUP(ТабПозиции[[#This Row],[orderNum]],ТабЗаказы[#Data],MATCH(E$7,ТабЗаказы[#Headers],0),0),"")</f>
        <v/>
      </c>
      <c r="F1127" s="16" t="s">
        <v>1628</v>
      </c>
      <c r="G1127" s="40" t="s">
        <v>545</v>
      </c>
      <c r="I1127" s="18">
        <v>45592</v>
      </c>
      <c r="J1127" s="10">
        <v>1</v>
      </c>
      <c r="K1127" s="10">
        <v>350</v>
      </c>
      <c r="L1127">
        <v>350</v>
      </c>
      <c r="M1127" s="10">
        <v>369</v>
      </c>
      <c r="N1127">
        <f t="shared" si="21"/>
        <v>369</v>
      </c>
      <c r="P11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Row],[orderNum]],ТабПозиции[orderSumm])&gt;1500),ABS(N1127*VLOOKUP(ТабПозиции[[#This Row],[orderNum]],ТабЗаказы[#Data],MATCH("Percent",ТабЗаказы[#Headers],0),0))/100,200/COUNTIF(ТабПозиции[orderNum],ТабПозиции[[#This Row],[orderNum]])),0),"")</f>
        <v>55</v>
      </c>
      <c r="Q1127">
        <f>IF(OR(ТабПозиции[[#This Row],[item]]="По штрихкоду",ТабПозиции[[#This Row],[item]]="Посылка"),ТабПозиции[[#This Row],[deliverySumm]]+ТабПозиции[[#This Row],[deliveryPost]],SUM(N1127:P1127))</f>
        <v>424</v>
      </c>
      <c r="R1127" s="41">
        <v>424</v>
      </c>
      <c r="S1127" s="46">
        <f>ТабПозиции[[#This Row],[totalSumm]]-ТабПозиции[[#This Row],[payment]]</f>
        <v>0</v>
      </c>
      <c r="T1127" s="18" t="s">
        <v>970</v>
      </c>
      <c r="U1127" s="40" t="s">
        <v>545</v>
      </c>
      <c r="V1127" s="40" t="s">
        <v>545</v>
      </c>
      <c r="W1127" s="40" t="s">
        <v>545</v>
      </c>
      <c r="X1127" s="3"/>
      <c r="Y1127"/>
    </row>
    <row r="1128" spans="1:25" hidden="1" x14ac:dyDescent="0.25">
      <c r="A1128" s="10">
        <v>307</v>
      </c>
      <c r="B1128" s="1">
        <f>IFERROR(VLOOKUP(ТабПозиции[[#This Row],[orderNum]],ТабЗаказы[#Data],MATCH(B$7,ТабЗаказы[#Headers],0),0),"")</f>
        <v>45588</v>
      </c>
      <c r="C1128" t="str">
        <f>MONTH(ТабПозиции[[#This Row],[date]])&amp;"/"&amp;YEAR(ТабПозиции[[#This Row],[date]])</f>
        <v>10/2024</v>
      </c>
      <c r="D1128" s="1" t="str">
        <f>IFERROR(VLOOKUP(ТабПозиции[[#This Row],[orderNum]],ТабЗаказы[#Data],MATCH(D$7,ТабЗаказы[#Headers],0),0),"")</f>
        <v/>
      </c>
      <c r="E1128" s="1" t="str">
        <f>IFERROR(VLOOKUP(ТабПозиции[[#This Row],[orderNum]],ТабЗаказы[#Data],MATCH(E$7,ТабЗаказы[#Headers],0),0),"")</f>
        <v/>
      </c>
      <c r="F1128" s="16" t="s">
        <v>1629</v>
      </c>
      <c r="G1128" s="40" t="s">
        <v>545</v>
      </c>
      <c r="I1128" s="18">
        <v>45594</v>
      </c>
      <c r="J1128" s="10">
        <v>1</v>
      </c>
      <c r="K1128" s="10">
        <v>133</v>
      </c>
      <c r="L1128">
        <v>133</v>
      </c>
      <c r="M1128" s="10">
        <v>140</v>
      </c>
      <c r="N1128">
        <f t="shared" si="21"/>
        <v>140</v>
      </c>
      <c r="P11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Row],[orderNum]],ТабПозиции[orderSumm])&gt;1500),ABS(N1128*VLOOKUP(ТабПозиции[[#This Row],[orderNum]],ТабЗаказы[#Data],MATCH("Percent",ТабЗаказы[#Headers],0),0))/100,200/COUNTIF(ТабПозиции[orderNum],ТабПозиции[[#This Row],[orderNum]])),0),"")</f>
        <v>21</v>
      </c>
      <c r="Q1128">
        <f>IF(OR(ТабПозиции[[#This Row],[item]]="По штрихкоду",ТабПозиции[[#This Row],[item]]="Посылка"),ТабПозиции[[#This Row],[deliverySumm]]+ТабПозиции[[#This Row],[deliveryPost]],SUM(N1128:P1128))</f>
        <v>161</v>
      </c>
      <c r="R1128" s="41">
        <v>161</v>
      </c>
      <c r="S1128" s="46">
        <f>ТабПозиции[[#This Row],[totalSumm]]-ТабПозиции[[#This Row],[payment]]</f>
        <v>0</v>
      </c>
      <c r="T1128" s="18" t="s">
        <v>970</v>
      </c>
      <c r="U1128" s="40" t="s">
        <v>545</v>
      </c>
      <c r="V1128" s="40" t="s">
        <v>545</v>
      </c>
      <c r="W1128" s="40" t="s">
        <v>545</v>
      </c>
      <c r="X1128" s="3"/>
      <c r="Y1128"/>
    </row>
    <row r="1129" spans="1:25" hidden="1" x14ac:dyDescent="0.25">
      <c r="A1129" s="10">
        <v>307</v>
      </c>
      <c r="B1129" s="1">
        <f>IFERROR(VLOOKUP(ТабПозиции[[#This Row],[orderNum]],ТабЗаказы[#Data],MATCH(B$7,ТабЗаказы[#Headers],0),0),"")</f>
        <v>45588</v>
      </c>
      <c r="C1129" t="str">
        <f>MONTH(ТабПозиции[[#This Row],[date]])&amp;"/"&amp;YEAR(ТабПозиции[[#This Row],[date]])</f>
        <v>10/2024</v>
      </c>
      <c r="D1129" s="1" t="str">
        <f>IFERROR(VLOOKUP(ТабПозиции[[#This Row],[orderNum]],ТабЗаказы[#Data],MATCH(D$7,ТабЗаказы[#Headers],0),0),"")</f>
        <v/>
      </c>
      <c r="E1129" s="1" t="str">
        <f>IFERROR(VLOOKUP(ТабПозиции[[#This Row],[orderNum]],ТабЗаказы[#Data],MATCH(E$7,ТабЗаказы[#Headers],0),0),"")</f>
        <v/>
      </c>
      <c r="F1129" s="16" t="s">
        <v>1630</v>
      </c>
      <c r="G1129" s="40" t="s">
        <v>545</v>
      </c>
      <c r="I1129" s="18">
        <v>45591</v>
      </c>
      <c r="J1129" s="10">
        <v>1</v>
      </c>
      <c r="K1129" s="10">
        <v>174</v>
      </c>
      <c r="L1129">
        <v>174</v>
      </c>
      <c r="M1129" s="10">
        <v>184</v>
      </c>
      <c r="N1129">
        <f t="shared" si="21"/>
        <v>184</v>
      </c>
      <c r="P11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Row],[orderNum]],ТабПозиции[orderSumm])&gt;1500),ABS(N1129*VLOOKUP(ТабПозиции[[#This Row],[orderNum]],ТабЗаказы[#Data],MATCH("Percent",ТабЗаказы[#Headers],0),0))/100,200/COUNTIF(ТабПозиции[orderNum],ТабПозиции[[#This Row],[orderNum]])),0),"")</f>
        <v>28</v>
      </c>
      <c r="Q1129">
        <f>IF(OR(ТабПозиции[[#This Row],[item]]="По штрихкоду",ТабПозиции[[#This Row],[item]]="Посылка"),ТабПозиции[[#This Row],[deliverySumm]]+ТабПозиции[[#This Row],[deliveryPost]],SUM(N1129:P1129))</f>
        <v>212</v>
      </c>
      <c r="R1129" s="41">
        <v>212</v>
      </c>
      <c r="S1129" s="46">
        <f>ТабПозиции[[#This Row],[totalSumm]]-ТабПозиции[[#This Row],[payment]]</f>
        <v>0</v>
      </c>
      <c r="T1129" s="18" t="s">
        <v>970</v>
      </c>
      <c r="U1129" s="40" t="s">
        <v>545</v>
      </c>
      <c r="V1129" s="40" t="s">
        <v>545</v>
      </c>
      <c r="W1129" s="40" t="s">
        <v>545</v>
      </c>
      <c r="X1129" s="3"/>
      <c r="Y1129"/>
    </row>
    <row r="1130" spans="1:25" hidden="1" x14ac:dyDescent="0.25">
      <c r="A1130" s="10">
        <v>307</v>
      </c>
      <c r="B1130" s="1">
        <f>IFERROR(VLOOKUP(ТабПозиции[[#This Row],[orderNum]],ТабЗаказы[#Data],MATCH(B$7,ТабЗаказы[#Headers],0),0),"")</f>
        <v>45588</v>
      </c>
      <c r="C1130" t="str">
        <f>MONTH(ТабПозиции[[#This Row],[date]])&amp;"/"&amp;YEAR(ТабПозиции[[#This Row],[date]])</f>
        <v>10/2024</v>
      </c>
      <c r="D1130" s="1" t="str">
        <f>IFERROR(VLOOKUP(ТабПозиции[[#This Row],[orderNum]],ТабЗаказы[#Data],MATCH(D$7,ТабЗаказы[#Headers],0),0),"")</f>
        <v/>
      </c>
      <c r="E1130" s="1" t="str">
        <f>IFERROR(VLOOKUP(ТабПозиции[[#This Row],[orderNum]],ТабЗаказы[#Data],MATCH(E$7,ТабЗаказы[#Headers],0),0),"")</f>
        <v/>
      </c>
      <c r="F1130" s="16" t="s">
        <v>777</v>
      </c>
      <c r="G1130" s="40" t="s">
        <v>545</v>
      </c>
      <c r="I1130" s="18">
        <v>45593</v>
      </c>
      <c r="J1130" s="10">
        <v>0</v>
      </c>
      <c r="K1130" s="10">
        <v>153</v>
      </c>
      <c r="L1130">
        <f>ТабПозиции[[#This Row],[discountPrice]]*ТабПозиции[[#This Row],[quantity]]</f>
        <v>0</v>
      </c>
      <c r="M1130" s="10">
        <v>162</v>
      </c>
      <c r="N1130">
        <f t="shared" si="21"/>
        <v>0</v>
      </c>
      <c r="P11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Row],[orderNum]],ТабПозиции[orderSumm])&gt;1500),ABS(N1130*VLOOKUP(ТабПозиции[[#This Row],[orderNum]],ТабЗаказы[#Data],MATCH("Percent",ТабЗаказы[#Headers],0),0))/100,200/COUNTIF(ТабПозиции[orderNum],ТабПозиции[[#This Row],[orderNum]])),0),"")</f>
        <v>0</v>
      </c>
      <c r="Q1130">
        <f>IF(OR(ТабПозиции[[#This Row],[item]]="По штрихкоду",ТабПозиции[[#This Row],[item]]="Посылка"),ТабПозиции[[#This Row],[deliverySumm]]+ТабПозиции[[#This Row],[deliveryPost]],SUM(N1130:P1130))</f>
        <v>0</v>
      </c>
      <c r="R1130" s="41">
        <v>0</v>
      </c>
      <c r="S1130" s="46">
        <f>ТабПозиции[[#This Row],[totalSumm]]-ТабПозиции[[#This Row],[payment]]</f>
        <v>0</v>
      </c>
      <c r="T1130" s="18" t="s">
        <v>970</v>
      </c>
      <c r="U1130" s="40" t="s">
        <v>545</v>
      </c>
      <c r="V1130" s="40" t="s">
        <v>545</v>
      </c>
      <c r="W1130" s="40" t="s">
        <v>545</v>
      </c>
      <c r="X1130" s="3"/>
      <c r="Y1130"/>
    </row>
    <row r="1131" spans="1:25" hidden="1" x14ac:dyDescent="0.25">
      <c r="A1131" s="10">
        <v>307</v>
      </c>
      <c r="B1131" s="1">
        <f>IFERROR(VLOOKUP(ТабПозиции[[#This Row],[orderNum]],ТабЗаказы[#Data],MATCH(B$7,ТабЗаказы[#Headers],0),0),"")</f>
        <v>45588</v>
      </c>
      <c r="C1131" t="str">
        <f>MONTH(ТабПозиции[[#This Row],[date]])&amp;"/"&amp;YEAR(ТабПозиции[[#This Row],[date]])</f>
        <v>10/2024</v>
      </c>
      <c r="D1131" s="1" t="str">
        <f>IFERROR(VLOOKUP(ТабПозиции[[#This Row],[orderNum]],ТабЗаказы[#Data],MATCH(D$7,ТабЗаказы[#Headers],0),0),"")</f>
        <v/>
      </c>
      <c r="E1131" s="1" t="str">
        <f>IFERROR(VLOOKUP(ТабПозиции[[#This Row],[orderNum]],ТабЗаказы[#Data],MATCH(E$7,ТабЗаказы[#Headers],0),0),"")</f>
        <v/>
      </c>
      <c r="F1131" s="16" t="s">
        <v>1631</v>
      </c>
      <c r="G1131" s="40" t="s">
        <v>545</v>
      </c>
      <c r="I1131" s="18">
        <v>45590</v>
      </c>
      <c r="J1131" s="10">
        <v>1</v>
      </c>
      <c r="K1131" s="10">
        <v>242</v>
      </c>
      <c r="L1131">
        <v>242</v>
      </c>
      <c r="M1131" s="10">
        <v>255</v>
      </c>
      <c r="N1131">
        <f t="shared" si="21"/>
        <v>255</v>
      </c>
      <c r="P11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Row],[orderNum]],ТабПозиции[orderSumm])&gt;1500),ABS(N1131*VLOOKUP(ТабПозиции[[#This Row],[orderNum]],ТабЗаказы[#Data],MATCH("Percent",ТабЗаказы[#Headers],0),0))/100,200/COUNTIF(ТабПозиции[orderNum],ТабПозиции[[#This Row],[orderNum]])),0),"")</f>
        <v>38</v>
      </c>
      <c r="Q1131">
        <f>IF(OR(ТабПозиции[[#This Row],[item]]="По штрихкоду",ТабПозиции[[#This Row],[item]]="Посылка"),ТабПозиции[[#This Row],[deliverySumm]]+ТабПозиции[[#This Row],[deliveryPost]],SUM(N1131:P1131))</f>
        <v>293</v>
      </c>
      <c r="R1131" s="41">
        <v>293</v>
      </c>
      <c r="S1131" s="46">
        <f>ТабПозиции[[#This Row],[totalSumm]]-ТабПозиции[[#This Row],[payment]]</f>
        <v>0</v>
      </c>
      <c r="T1131" s="18" t="s">
        <v>970</v>
      </c>
      <c r="U1131" s="40" t="s">
        <v>545</v>
      </c>
      <c r="V1131" s="40" t="s">
        <v>545</v>
      </c>
      <c r="W1131" s="40" t="s">
        <v>545</v>
      </c>
      <c r="X1131" s="3"/>
      <c r="Y1131"/>
    </row>
    <row r="1132" spans="1:25" hidden="1" x14ac:dyDescent="0.25">
      <c r="A1132" s="10">
        <v>307</v>
      </c>
      <c r="B1132" s="1">
        <f>IFERROR(VLOOKUP(ТабПозиции[[#This Row],[orderNum]],ТабЗаказы[#Data],MATCH(B$7,ТабЗаказы[#Headers],0),0),"")</f>
        <v>45588</v>
      </c>
      <c r="C1132" t="str">
        <f>MONTH(ТабПозиции[[#This Row],[date]])&amp;"/"&amp;YEAR(ТабПозиции[[#This Row],[date]])</f>
        <v>10/2024</v>
      </c>
      <c r="D1132" s="1" t="str">
        <f>IFERROR(VLOOKUP(ТабПозиции[[#This Row],[orderNum]],ТабЗаказы[#Data],MATCH(D$7,ТабЗаказы[#Headers],0),0),"")</f>
        <v/>
      </c>
      <c r="E1132" s="1" t="str">
        <f>IFERROR(VLOOKUP(ТабПозиции[[#This Row],[orderNum]],ТабЗаказы[#Data],MATCH(E$7,ТабЗаказы[#Headers],0),0),"")</f>
        <v/>
      </c>
      <c r="F1132" s="16" t="s">
        <v>1632</v>
      </c>
      <c r="G1132" s="40" t="s">
        <v>545</v>
      </c>
      <c r="I1132" s="18">
        <v>45591</v>
      </c>
      <c r="J1132" s="10">
        <v>1</v>
      </c>
      <c r="K1132" s="10">
        <v>703</v>
      </c>
      <c r="L1132">
        <v>703</v>
      </c>
      <c r="M1132" s="10">
        <v>740</v>
      </c>
      <c r="N1132">
        <f t="shared" si="21"/>
        <v>740</v>
      </c>
      <c r="P11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Row],[orderNum]],ТабПозиции[orderSumm])&gt;1500),ABS(N1132*VLOOKUP(ТабПозиции[[#This Row],[orderNum]],ТабЗаказы[#Data],MATCH("Percent",ТабЗаказы[#Headers],0),0))/100,200/COUNTIF(ТабПозиции[orderNum],ТабПозиции[[#This Row],[orderNum]])),0),"")</f>
        <v>111</v>
      </c>
      <c r="Q1132">
        <f>IF(OR(ТабПозиции[[#This Row],[item]]="По штрихкоду",ТабПозиции[[#This Row],[item]]="Посылка"),ТабПозиции[[#This Row],[deliverySumm]]+ТабПозиции[[#This Row],[deliveryPost]],SUM(N1132:P1132))</f>
        <v>851</v>
      </c>
      <c r="R1132" s="41">
        <v>851</v>
      </c>
      <c r="S1132" s="46">
        <f>ТабПозиции[[#This Row],[totalSumm]]-ТабПозиции[[#This Row],[payment]]</f>
        <v>0</v>
      </c>
      <c r="T1132" s="18" t="s">
        <v>970</v>
      </c>
      <c r="U1132" s="40" t="s">
        <v>545</v>
      </c>
      <c r="V1132" s="40" t="s">
        <v>545</v>
      </c>
      <c r="W1132" s="40" t="s">
        <v>545</v>
      </c>
      <c r="X1132" s="3"/>
      <c r="Y1132"/>
    </row>
    <row r="1133" spans="1:25" hidden="1" x14ac:dyDescent="0.25">
      <c r="A1133" s="10">
        <v>307</v>
      </c>
      <c r="B1133" s="1">
        <f>IFERROR(VLOOKUP(ТабПозиции[[#This Row],[orderNum]],ТабЗаказы[#Data],MATCH(B$7,ТабЗаказы[#Headers],0),0),"")</f>
        <v>45588</v>
      </c>
      <c r="C1133" t="str">
        <f>MONTH(ТабПозиции[[#This Row],[date]])&amp;"/"&amp;YEAR(ТабПозиции[[#This Row],[date]])</f>
        <v>10/2024</v>
      </c>
      <c r="D1133" s="1" t="str">
        <f>IFERROR(VLOOKUP(ТабПозиции[[#This Row],[orderNum]],ТабЗаказы[#Data],MATCH(D$7,ТабЗаказы[#Headers],0),0),"")</f>
        <v/>
      </c>
      <c r="E1133" s="1" t="str">
        <f>IFERROR(VLOOKUP(ТабПозиции[[#This Row],[orderNum]],ТабЗаказы[#Data],MATCH(E$7,ТабЗаказы[#Headers],0),0),"")</f>
        <v/>
      </c>
      <c r="F1133" s="16" t="s">
        <v>1633</v>
      </c>
      <c r="G1133" s="40" t="s">
        <v>545</v>
      </c>
      <c r="I1133" s="18">
        <v>45593</v>
      </c>
      <c r="J1133" s="10">
        <v>1</v>
      </c>
      <c r="K1133" s="10">
        <v>257</v>
      </c>
      <c r="L1133">
        <v>257</v>
      </c>
      <c r="M1133" s="10">
        <v>271</v>
      </c>
      <c r="N1133">
        <f t="shared" si="21"/>
        <v>271</v>
      </c>
      <c r="P11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Row],[orderNum]],ТабПозиции[orderSumm])&gt;1500),ABS(N1133*VLOOKUP(ТабПозиции[[#This Row],[orderNum]],ТабЗаказы[#Data],MATCH("Percent",ТабЗаказы[#Headers],0),0))/100,200/COUNTIF(ТабПозиции[orderNum],ТабПозиции[[#This Row],[orderNum]])),0),"")</f>
        <v>41</v>
      </c>
      <c r="Q1133">
        <f>IF(OR(ТабПозиции[[#This Row],[item]]="По штрихкоду",ТабПозиции[[#This Row],[item]]="Посылка"),ТабПозиции[[#This Row],[deliverySumm]]+ТабПозиции[[#This Row],[deliveryPost]],SUM(N1133:P1133))</f>
        <v>312</v>
      </c>
      <c r="R1133" s="41">
        <v>312</v>
      </c>
      <c r="S1133" s="46">
        <f>ТабПозиции[[#This Row],[totalSumm]]-ТабПозиции[[#This Row],[payment]]</f>
        <v>0</v>
      </c>
      <c r="T1133" s="18" t="s">
        <v>970</v>
      </c>
      <c r="U1133" s="40" t="s">
        <v>545</v>
      </c>
      <c r="V1133" s="40" t="s">
        <v>545</v>
      </c>
      <c r="W1133" s="40" t="s">
        <v>545</v>
      </c>
      <c r="X1133" s="3"/>
      <c r="Y1133"/>
    </row>
    <row r="1134" spans="1:25" hidden="1" x14ac:dyDescent="0.25">
      <c r="A1134" s="10">
        <v>307</v>
      </c>
      <c r="B1134" s="1">
        <f>IFERROR(VLOOKUP(ТабПозиции[[#This Row],[orderNum]],ТабЗаказы[#Data],MATCH(B$7,ТабЗаказы[#Headers],0),0),"")</f>
        <v>45588</v>
      </c>
      <c r="C1134" t="str">
        <f>MONTH(ТабПозиции[[#This Row],[date]])&amp;"/"&amp;YEAR(ТабПозиции[[#This Row],[date]])</f>
        <v>10/2024</v>
      </c>
      <c r="D1134" s="1" t="str">
        <f>IFERROR(VLOOKUP(ТабПозиции[[#This Row],[orderNum]],ТабЗаказы[#Data],MATCH(D$7,ТабЗаказы[#Headers],0),0),"")</f>
        <v/>
      </c>
      <c r="E1134" s="1" t="str">
        <f>IFERROR(VLOOKUP(ТабПозиции[[#This Row],[orderNum]],ТабЗаказы[#Data],MATCH(E$7,ТабЗаказы[#Headers],0),0),"")</f>
        <v/>
      </c>
      <c r="F1134" s="16" t="s">
        <v>1634</v>
      </c>
      <c r="G1134" s="40" t="s">
        <v>545</v>
      </c>
      <c r="I1134" s="18">
        <v>45593</v>
      </c>
      <c r="J1134" s="10">
        <v>1</v>
      </c>
      <c r="K1134" s="10">
        <v>258</v>
      </c>
      <c r="L1134">
        <v>258</v>
      </c>
      <c r="M1134" s="10">
        <v>272</v>
      </c>
      <c r="N1134">
        <f t="shared" si="21"/>
        <v>272</v>
      </c>
      <c r="P11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Row],[orderNum]],ТабПозиции[orderSumm])&gt;1500),ABS(N1134*VLOOKUP(ТабПозиции[[#This Row],[orderNum]],ТабЗаказы[#Data],MATCH("Percent",ТабЗаказы[#Headers],0),0))/100,200/COUNTIF(ТабПозиции[orderNum],ТабПозиции[[#This Row],[orderNum]])),0),"")</f>
        <v>41</v>
      </c>
      <c r="Q1134">
        <f>IF(OR(ТабПозиции[[#This Row],[item]]="По штрихкоду",ТабПозиции[[#This Row],[item]]="Посылка"),ТабПозиции[[#This Row],[deliverySumm]]+ТабПозиции[[#This Row],[deliveryPost]],SUM(N1134:P1134))</f>
        <v>313</v>
      </c>
      <c r="R1134" s="41">
        <v>313</v>
      </c>
      <c r="S1134" s="46">
        <f>ТабПозиции[[#This Row],[totalSumm]]-ТабПозиции[[#This Row],[payment]]</f>
        <v>0</v>
      </c>
      <c r="T1134" s="18" t="s">
        <v>970</v>
      </c>
      <c r="U1134" s="40" t="s">
        <v>545</v>
      </c>
      <c r="V1134" s="40" t="s">
        <v>545</v>
      </c>
      <c r="W1134" s="40" t="s">
        <v>545</v>
      </c>
      <c r="X1134" s="3"/>
      <c r="Y1134"/>
    </row>
    <row r="1135" spans="1:25" hidden="1" x14ac:dyDescent="0.25">
      <c r="A1135" s="10">
        <v>307</v>
      </c>
      <c r="B1135" s="1">
        <f>IFERROR(VLOOKUP(ТабПозиции[[#This Row],[orderNum]],ТабЗаказы[#Data],MATCH(B$7,ТабЗаказы[#Headers],0),0),"")</f>
        <v>45588</v>
      </c>
      <c r="C1135" t="str">
        <f>MONTH(ТабПозиции[[#This Row],[date]])&amp;"/"&amp;YEAR(ТабПозиции[[#This Row],[date]])</f>
        <v>10/2024</v>
      </c>
      <c r="D1135" s="1" t="str">
        <f>IFERROR(VLOOKUP(ТабПозиции[[#This Row],[orderNum]],ТабЗаказы[#Data],MATCH(D$7,ТабЗаказы[#Headers],0),0),"")</f>
        <v/>
      </c>
      <c r="E1135" s="1" t="str">
        <f>IFERROR(VLOOKUP(ТабПозиции[[#This Row],[orderNum]],ТабЗаказы[#Data],MATCH(E$7,ТабЗаказы[#Headers],0),0),"")</f>
        <v/>
      </c>
      <c r="F1135" s="16" t="s">
        <v>1635</v>
      </c>
      <c r="G1135" s="40" t="s">
        <v>545</v>
      </c>
      <c r="I1135" s="18">
        <v>45590</v>
      </c>
      <c r="J1135" s="10">
        <v>1</v>
      </c>
      <c r="K1135" s="10">
        <v>525</v>
      </c>
      <c r="L1135">
        <v>525</v>
      </c>
      <c r="M1135" s="10">
        <v>553</v>
      </c>
      <c r="N1135">
        <f t="shared" si="21"/>
        <v>553</v>
      </c>
      <c r="P11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Row],[orderNum]],ТабПозиции[orderSumm])&gt;1500),ABS(N1135*VLOOKUP(ТабПозиции[[#This Row],[orderNum]],ТабЗаказы[#Data],MATCH("Percent",ТабЗаказы[#Headers],0),0))/100,200/COUNTIF(ТабПозиции[orderNum],ТабПозиции[[#This Row],[orderNum]])),0),"")</f>
        <v>83</v>
      </c>
      <c r="Q1135">
        <f>IF(OR(ТабПозиции[[#This Row],[item]]="По штрихкоду",ТабПозиции[[#This Row],[item]]="Посылка"),ТабПозиции[[#This Row],[deliverySumm]]+ТабПозиции[[#This Row],[deliveryPost]],SUM(N1135:P1135))</f>
        <v>636</v>
      </c>
      <c r="R1135" s="41">
        <v>636</v>
      </c>
      <c r="S1135" s="46">
        <f>ТабПозиции[[#This Row],[totalSumm]]-ТабПозиции[[#This Row],[payment]]</f>
        <v>0</v>
      </c>
      <c r="T1135" s="18" t="s">
        <v>970</v>
      </c>
      <c r="U1135" s="40" t="s">
        <v>545</v>
      </c>
      <c r="V1135" s="40" t="s">
        <v>545</v>
      </c>
      <c r="W1135" s="40" t="s">
        <v>545</v>
      </c>
      <c r="X1135" s="3"/>
      <c r="Y1135"/>
    </row>
    <row r="1136" spans="1:25" hidden="1" x14ac:dyDescent="0.25">
      <c r="A1136" s="10">
        <v>307</v>
      </c>
      <c r="B1136" s="1">
        <f>IFERROR(VLOOKUP(ТабПозиции[[#This Row],[orderNum]],ТабЗаказы[#Data],MATCH(B$7,ТабЗаказы[#Headers],0),0),"")</f>
        <v>45588</v>
      </c>
      <c r="C1136" t="str">
        <f>MONTH(ТабПозиции[[#This Row],[date]])&amp;"/"&amp;YEAR(ТабПозиции[[#This Row],[date]])</f>
        <v>10/2024</v>
      </c>
      <c r="D1136" s="1" t="str">
        <f>IFERROR(VLOOKUP(ТабПозиции[[#This Row],[orderNum]],ТабЗаказы[#Data],MATCH(D$7,ТабЗаказы[#Headers],0),0),"")</f>
        <v/>
      </c>
      <c r="E1136" s="1" t="str">
        <f>IFERROR(VLOOKUP(ТабПозиции[[#This Row],[orderNum]],ТабЗаказы[#Data],MATCH(E$7,ТабЗаказы[#Headers],0),0),"")</f>
        <v/>
      </c>
      <c r="F1136" s="16" t="s">
        <v>1141</v>
      </c>
      <c r="G1136" s="40" t="s">
        <v>545</v>
      </c>
      <c r="I1136" s="18">
        <v>45590</v>
      </c>
      <c r="J1136" s="10">
        <v>1</v>
      </c>
      <c r="K1136" s="10">
        <v>386</v>
      </c>
      <c r="L1136">
        <v>386</v>
      </c>
      <c r="M1136" s="10">
        <v>407</v>
      </c>
      <c r="N1136">
        <f t="shared" si="21"/>
        <v>407</v>
      </c>
      <c r="P11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Row],[orderNum]],ТабПозиции[orderSumm])&gt;1500),ABS(N1136*VLOOKUP(ТабПозиции[[#This Row],[orderNum]],ТабЗаказы[#Data],MATCH("Percent",ТабЗаказы[#Headers],0),0))/100,200/COUNTIF(ТабПозиции[orderNum],ТабПозиции[[#This Row],[orderNum]])),0),"")</f>
        <v>61</v>
      </c>
      <c r="Q1136">
        <f>IF(OR(ТабПозиции[[#This Row],[item]]="По штрихкоду",ТабПозиции[[#This Row],[item]]="Посылка"),ТабПозиции[[#This Row],[deliverySumm]]+ТабПозиции[[#This Row],[deliveryPost]],SUM(N1136:P1136))</f>
        <v>468</v>
      </c>
      <c r="R1136" s="41">
        <v>468</v>
      </c>
      <c r="S1136" s="46">
        <f>ТабПозиции[[#This Row],[totalSumm]]-ТабПозиции[[#This Row],[payment]]</f>
        <v>0</v>
      </c>
      <c r="T1136" s="18" t="s">
        <v>970</v>
      </c>
      <c r="U1136" s="40" t="s">
        <v>545</v>
      </c>
      <c r="V1136" s="40" t="s">
        <v>545</v>
      </c>
      <c r="W1136" s="40" t="s">
        <v>545</v>
      </c>
      <c r="X1136" s="3"/>
      <c r="Y1136"/>
    </row>
    <row r="1137" spans="1:25" hidden="1" x14ac:dyDescent="0.25">
      <c r="A1137" s="10">
        <v>303</v>
      </c>
      <c r="B1137" s="1">
        <f>IFERROR(VLOOKUP(ТабПозиции[[#This Row],[orderNum]],ТабЗаказы[#Data],MATCH(B$7,ТабЗаказы[#Headers],0),0),"")</f>
        <v>45585</v>
      </c>
      <c r="C1137" t="str">
        <f>MONTH(ТабПозиции[[#This Row],[date]])&amp;"/"&amp;YEAR(ТабПозиции[[#This Row],[date]])</f>
        <v>10/2024</v>
      </c>
      <c r="D1137" s="1" t="str">
        <f>IFERROR(VLOOKUP(ТабПозиции[[#This Row],[orderNum]],ТабЗаказы[#Data],MATCH(D$7,ТабЗаказы[#Headers],0),0),"")</f>
        <v/>
      </c>
      <c r="E1137" s="1" t="str">
        <f>IFERROR(VLOOKUP(ТабПозиции[[#This Row],[orderNum]],ТабЗаказы[#Data],MATCH(E$7,ТабЗаказы[#Headers],0),0),"")</f>
        <v/>
      </c>
      <c r="F1137" s="16" t="s">
        <v>1636</v>
      </c>
      <c r="G1137" s="40" t="s">
        <v>545</v>
      </c>
      <c r="I1137" s="18">
        <v>45590</v>
      </c>
      <c r="J1137" s="10">
        <v>1</v>
      </c>
      <c r="K1137" s="10">
        <v>1005</v>
      </c>
      <c r="L1137">
        <v>1005</v>
      </c>
      <c r="M1137" s="10">
        <v>1058</v>
      </c>
      <c r="N1137">
        <f t="shared" si="21"/>
        <v>1058</v>
      </c>
      <c r="P11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Row],[orderNum]],ТабПозиции[orderSumm])&gt;1500),ABS(N1137*VLOOKUP(ТабПозиции[[#This Row],[orderNum]],ТабЗаказы[#Data],MATCH("Percent",ТабЗаказы[#Headers],0),0))/100,200/COUNTIF(ТабПозиции[orderNum],ТабПозиции[[#This Row],[orderNum]])),0),"")</f>
        <v>106</v>
      </c>
      <c r="Q1137">
        <f>IF(OR(ТабПозиции[[#This Row],[item]]="По штрихкоду",ТабПозиции[[#This Row],[item]]="Посылка"),ТабПозиции[[#This Row],[deliverySumm]]+ТабПозиции[[#This Row],[deliveryPost]],SUM(N1137:P1137))</f>
        <v>1164</v>
      </c>
      <c r="R1137" s="41">
        <v>1164</v>
      </c>
      <c r="S1137" s="46">
        <f>ТабПозиции[[#This Row],[totalSumm]]-ТабПозиции[[#This Row],[payment]]</f>
        <v>0</v>
      </c>
      <c r="T1137" s="18" t="s">
        <v>970</v>
      </c>
      <c r="U1137" s="40" t="s">
        <v>545</v>
      </c>
      <c r="V1137" s="40" t="s">
        <v>545</v>
      </c>
      <c r="W1137" s="40" t="s">
        <v>545</v>
      </c>
      <c r="X1137" s="3"/>
      <c r="Y1137"/>
    </row>
    <row r="1138" spans="1:25" hidden="1" x14ac:dyDescent="0.25">
      <c r="A1138" s="10">
        <v>301</v>
      </c>
      <c r="B1138" s="1">
        <f>IFERROR(VLOOKUP(ТабПозиции[[#This Row],[orderNum]],ТабЗаказы[#Data],MATCH(B$7,ТабЗаказы[#Headers],0),0),"")</f>
        <v>45584</v>
      </c>
      <c r="C1138" t="str">
        <f>MONTH(ТабПозиции[[#This Row],[date]])&amp;"/"&amp;YEAR(ТабПозиции[[#This Row],[date]])</f>
        <v>10/2024</v>
      </c>
      <c r="D1138" s="1" t="str">
        <f>IFERROR(VLOOKUP(ТабПозиции[[#This Row],[orderNum]],ТабЗаказы[#Data],MATCH(D$7,ТабЗаказы[#Headers],0),0),"")</f>
        <v/>
      </c>
      <c r="E1138" s="1" t="str">
        <f>IFERROR(VLOOKUP(ТабПозиции[[#This Row],[orderNum]],ТабЗаказы[#Data],MATCH(E$7,ТабЗаказы[#Headers],0),0),"")</f>
        <v/>
      </c>
      <c r="F1138" s="16" t="s">
        <v>1438</v>
      </c>
      <c r="G1138" s="40" t="s">
        <v>545</v>
      </c>
      <c r="I1138" s="18">
        <v>45592</v>
      </c>
      <c r="J1138" s="10">
        <v>2</v>
      </c>
      <c r="K1138" s="10">
        <v>482</v>
      </c>
      <c r="L1138">
        <v>964</v>
      </c>
      <c r="M1138" s="10">
        <v>508</v>
      </c>
      <c r="N1138">
        <f t="shared" si="21"/>
        <v>1016</v>
      </c>
      <c r="P11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Row],[orderNum]],ТабПозиции[orderSumm])&gt;1500),ABS(N1138*VLOOKUP(ТабПозиции[[#This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138">
        <f>IF(OR(ТабПозиции[[#This Row],[item]]="По штрихкоду",ТабПозиции[[#This Row],[item]]="Посылка"),ТабПозиции[[#This Row],[deliverySumm]]+ТабПозиции[[#This Row],[deliveryPost]],SUM(N1138:P1138))</f>
        <v>1216</v>
      </c>
      <c r="R1138" s="41">
        <v>1216</v>
      </c>
      <c r="S1138" s="46">
        <f>ТабПозиции[[#This Row],[totalSumm]]-ТабПозиции[[#This Row],[payment]]</f>
        <v>0</v>
      </c>
      <c r="T1138" s="18" t="s">
        <v>970</v>
      </c>
      <c r="U1138" s="40" t="s">
        <v>545</v>
      </c>
      <c r="V1138" s="40" t="s">
        <v>545</v>
      </c>
      <c r="W1138" s="40" t="s">
        <v>545</v>
      </c>
      <c r="X1138" s="3"/>
      <c r="Y1138"/>
    </row>
    <row r="1139" spans="1:25" hidden="1" x14ac:dyDescent="0.25">
      <c r="A1139" s="10">
        <v>308</v>
      </c>
      <c r="B1139" s="1">
        <f>IFERROR(VLOOKUP(ТабПозиции[[#This Row],[orderNum]],ТабЗаказы[#Data],MATCH(B$7,ТабЗаказы[#Headers],0),0),"")</f>
        <v>45590</v>
      </c>
      <c r="C1139" t="str">
        <f>MONTH(ТабПозиции[[#This Row],[date]])&amp;"/"&amp;YEAR(ТабПозиции[[#This Row],[date]])</f>
        <v>10/2024</v>
      </c>
      <c r="D1139" s="1" t="str">
        <f>IFERROR(VLOOKUP(ТабПозиции[[#This Row],[orderNum]],ТабЗаказы[#Data],MATCH(D$7,ТабЗаказы[#Headers],0),0),"")</f>
        <v/>
      </c>
      <c r="E1139" s="1" t="str">
        <f>IFERROR(VLOOKUP(ТабПозиции[[#This Row],[orderNum]],ТабЗаказы[#Data],MATCH(E$7,ТабЗаказы[#Headers],0),0),"")</f>
        <v/>
      </c>
      <c r="F1139" s="10" t="s">
        <v>32</v>
      </c>
      <c r="G1139" s="40" t="s">
        <v>545</v>
      </c>
      <c r="I1139" s="18">
        <v>45590</v>
      </c>
      <c r="J1139" s="10">
        <v>1</v>
      </c>
      <c r="K1139" s="10">
        <v>1</v>
      </c>
      <c r="L1139">
        <v>1</v>
      </c>
      <c r="M1139" s="10">
        <v>1</v>
      </c>
      <c r="N1139">
        <f t="shared" si="21"/>
        <v>1</v>
      </c>
      <c r="P11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Row],[orderNum]],ТабПозиции[orderSumm])&gt;1500),ABS(N1139*VLOOKUP(ТабПозиции[[#This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139">
        <f>IF(OR(ТабПозиции[[#This Row],[item]]="По штрихкоду",ТабПозиции[[#This Row],[item]]="Посылка"),ТабПозиции[[#This Row],[deliverySumm]]+ТабПозиции[[#This Row],[deliveryPost]],SUM(N1139:P1139))</f>
        <v>200</v>
      </c>
      <c r="R1139" s="41">
        <v>200</v>
      </c>
      <c r="S1139" s="46">
        <f>ТабПозиции[[#This Row],[totalSumm]]-ТабПозиции[[#This Row],[payment]]</f>
        <v>0</v>
      </c>
      <c r="T1139" s="18" t="s">
        <v>960</v>
      </c>
      <c r="U1139" s="40" t="s">
        <v>545</v>
      </c>
      <c r="V1139" s="40" t="s">
        <v>545</v>
      </c>
      <c r="W1139" s="40" t="s">
        <v>545</v>
      </c>
      <c r="X1139" s="3"/>
      <c r="Y1139"/>
    </row>
    <row r="1140" spans="1:25" hidden="1" x14ac:dyDescent="0.25">
      <c r="A1140" s="10">
        <v>309</v>
      </c>
      <c r="B1140" s="1">
        <f>IFERROR(VLOOKUP(ТабПозиции[[#This Row],[orderNum]],ТабЗаказы[#Data],MATCH(B$7,ТабЗаказы[#Headers],0),0),"")</f>
        <v>45590</v>
      </c>
      <c r="C1140" t="str">
        <f>MONTH(ТабПозиции[[#This Row],[date]])&amp;"/"&amp;YEAR(ТабПозиции[[#This Row],[date]])</f>
        <v>10/2024</v>
      </c>
      <c r="D1140" s="1" t="str">
        <f>IFERROR(VLOOKUP(ТабПозиции[[#This Row],[orderNum]],ТабЗаказы[#Data],MATCH(D$7,ТабЗаказы[#Headers],0),0),"")</f>
        <v/>
      </c>
      <c r="E1140" s="1" t="str">
        <f>IFERROR(VLOOKUP(ТабПозиции[[#This Row],[orderNum]],ТабЗаказы[#Data],MATCH(E$7,ТабЗаказы[#Headers],0),0),"")</f>
        <v/>
      </c>
      <c r="F1140" s="10" t="s">
        <v>32</v>
      </c>
      <c r="G1140" s="40" t="s">
        <v>545</v>
      </c>
      <c r="I1140" s="18">
        <v>45590</v>
      </c>
      <c r="J1140" s="10">
        <v>1</v>
      </c>
      <c r="K1140" s="10">
        <v>3712</v>
      </c>
      <c r="L1140">
        <v>3712</v>
      </c>
      <c r="M1140" s="10">
        <v>3712</v>
      </c>
      <c r="N1140">
        <f t="shared" si="21"/>
        <v>3712</v>
      </c>
      <c r="P11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Row],[orderNum]],ТабПозиции[orderSumm])&gt;1500),ABS(N1140*VLOOKUP(ТабПозиции[[#This Row],[orderNum]],ТабЗаказы[#Data],MATCH("Percent",ТабЗаказы[#Headers],0),0))/100,200/COUNTIF(ТабПозиции[orderNum],ТабПозиции[[#This Row],[orderNum]])),0),"")</f>
        <v>557</v>
      </c>
      <c r="Q1140">
        <f>IF(OR(ТабПозиции[[#This Row],[item]]="По штрихкоду",ТабПозиции[[#This Row],[item]]="Посылка"),ТабПозиции[[#This Row],[deliverySumm]]+ТабПозиции[[#This Row],[deliveryPost]],SUM(N1140:P1140))</f>
        <v>557</v>
      </c>
      <c r="R1140" s="41">
        <v>557</v>
      </c>
      <c r="S1140" s="46">
        <f>ТабПозиции[[#This Row],[totalSumm]]-ТабПозиции[[#This Row],[payment]]</f>
        <v>0</v>
      </c>
      <c r="T1140" s="18" t="s">
        <v>970</v>
      </c>
      <c r="U1140" s="40" t="s">
        <v>545</v>
      </c>
      <c r="V1140" s="40" t="s">
        <v>545</v>
      </c>
      <c r="W1140" s="40" t="s">
        <v>545</v>
      </c>
      <c r="X1140" s="3"/>
      <c r="Y1140"/>
    </row>
    <row r="1141" spans="1:25" hidden="1" x14ac:dyDescent="0.25">
      <c r="A1141" s="10">
        <v>310</v>
      </c>
      <c r="B1141" s="1">
        <f>IFERROR(VLOOKUP(ТабПозиции[[#This Row],[orderNum]],ТабЗаказы[#Data],MATCH(B$7,ТабЗаказы[#Headers],0),0),"")</f>
        <v>45592</v>
      </c>
      <c r="C1141" t="str">
        <f>MONTH(ТабПозиции[[#This Row],[date]])&amp;"/"&amp;YEAR(ТабПозиции[[#This Row],[date]])</f>
        <v>10/2024</v>
      </c>
      <c r="D1141" s="1" t="str">
        <f>IFERROR(VLOOKUP(ТабПозиции[[#This Row],[orderNum]],ТабЗаказы[#Data],MATCH(D$7,ТабЗаказы[#Headers],0),0),"")</f>
        <v/>
      </c>
      <c r="E1141" s="1" t="str">
        <f>IFERROR(VLOOKUP(ТабПозиции[[#This Row],[orderNum]],ТабЗаказы[#Data],MATCH(E$7,ТабЗаказы[#Headers],0),0),"")</f>
        <v/>
      </c>
      <c r="F1141" s="16" t="s">
        <v>1647</v>
      </c>
      <c r="G1141" s="40" t="s">
        <v>545</v>
      </c>
      <c r="I1141" s="18">
        <v>45594</v>
      </c>
      <c r="J1141" s="10">
        <v>1</v>
      </c>
      <c r="K1141" s="10">
        <v>778</v>
      </c>
      <c r="L1141">
        <v>778</v>
      </c>
      <c r="M1141" s="10">
        <v>819</v>
      </c>
      <c r="N1141">
        <f t="shared" si="21"/>
        <v>819</v>
      </c>
      <c r="P11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Row],[orderNum]],ТабПозиции[orderSumm])&gt;1500),ABS(N1141*VLOOKUP(ТабПозиции[[#This Row],[orderNum]],ТабЗаказы[#Data],MATCH("Percent",ТабЗаказы[#Headers],0),0))/100,200/COUNTIF(ТабПозиции[orderNum],ТабПозиции[[#This Row],[orderNum]])),0),"")</f>
        <v>82</v>
      </c>
      <c r="Q1141">
        <f>IF(OR(ТабПозиции[[#This Row],[item]]="По штрихкоду",ТабПозиции[[#This Row],[item]]="Посылка"),ТабПозиции[[#This Row],[deliverySumm]]+ТабПозиции[[#This Row],[deliveryPost]],SUM(N1141:P1141))</f>
        <v>901</v>
      </c>
      <c r="R1141" s="41">
        <v>901</v>
      </c>
      <c r="S1141" s="46">
        <f>ТабПозиции[[#This Row],[totalSumm]]-ТабПозиции[[#This Row],[payment]]</f>
        <v>0</v>
      </c>
      <c r="T1141" s="18" t="s">
        <v>970</v>
      </c>
      <c r="U1141" s="40" t="s">
        <v>545</v>
      </c>
      <c r="V1141" s="40" t="s">
        <v>545</v>
      </c>
      <c r="W1141" s="40" t="s">
        <v>545</v>
      </c>
      <c r="X1141" s="3"/>
      <c r="Y1141"/>
    </row>
    <row r="1142" spans="1:25" hidden="1" x14ac:dyDescent="0.25">
      <c r="A1142" s="10">
        <v>310</v>
      </c>
      <c r="B1142" s="1">
        <f>IFERROR(VLOOKUP(ТабПозиции[[#This Row],[orderNum]],ТабЗаказы[#Data],MATCH(B$7,ТабЗаказы[#Headers],0),0),"")</f>
        <v>45592</v>
      </c>
      <c r="C1142" t="str">
        <f>MONTH(ТабПозиции[[#This Row],[date]])&amp;"/"&amp;YEAR(ТабПозиции[[#This Row],[date]])</f>
        <v>10/2024</v>
      </c>
      <c r="D1142" s="1" t="str">
        <f>IFERROR(VLOOKUP(ТабПозиции[[#This Row],[orderNum]],ТабЗаказы[#Data],MATCH(D$7,ТабЗаказы[#Headers],0),0),"")</f>
        <v/>
      </c>
      <c r="E1142" s="1" t="str">
        <f>IFERROR(VLOOKUP(ТабПозиции[[#This Row],[orderNum]],ТабЗаказы[#Data],MATCH(E$7,ТабЗаказы[#Headers],0),0),"")</f>
        <v/>
      </c>
      <c r="F1142" s="51" t="s">
        <v>1426</v>
      </c>
      <c r="G1142" s="40" t="s">
        <v>545</v>
      </c>
      <c r="I1142" s="18">
        <v>45600</v>
      </c>
      <c r="J1142" s="10">
        <v>1</v>
      </c>
      <c r="K1142" s="10">
        <v>614</v>
      </c>
      <c r="L1142">
        <v>614</v>
      </c>
      <c r="M1142" s="10">
        <v>647</v>
      </c>
      <c r="N1142">
        <f t="shared" si="21"/>
        <v>647</v>
      </c>
      <c r="P11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Row],[orderNum]],ТабПозиции[orderSumm])&gt;1500),ABS(N1142*VLOOKUP(ТабПозиции[[#This Row],[orderNum]],ТабЗаказы[#Data],MATCH("Percent",ТабЗаказы[#Headers],0),0))/100,200/COUNTIF(ТабПозиции[orderNum],ТабПозиции[[#This Row],[orderNum]])),0),"")</f>
        <v>65</v>
      </c>
      <c r="Q1142">
        <f>IF(OR(ТабПозиции[[#This Row],[item]]="По штрихкоду",ТабПозиции[[#This Row],[item]]="Посылка"),ТабПозиции[[#This Row],[deliverySumm]]+ТабПозиции[[#This Row],[deliveryPost]],SUM(N1142:P1142))</f>
        <v>712</v>
      </c>
      <c r="R1142" s="41">
        <v>712</v>
      </c>
      <c r="S1142" s="46">
        <f>ТабПозиции[[#This Row],[totalSumm]]-ТабПозиции[[#This Row],[payment]]</f>
        <v>0</v>
      </c>
      <c r="T1142" s="18" t="s">
        <v>970</v>
      </c>
      <c r="U1142" s="40" t="s">
        <v>545</v>
      </c>
      <c r="V1142" s="40" t="s">
        <v>545</v>
      </c>
      <c r="W1142" s="40" t="s">
        <v>545</v>
      </c>
      <c r="X1142" s="3"/>
      <c r="Y1142"/>
    </row>
    <row r="1143" spans="1:25" hidden="1" x14ac:dyDescent="0.25">
      <c r="A1143" s="10">
        <v>310</v>
      </c>
      <c r="B1143" s="1">
        <f>IFERROR(VLOOKUP(ТабПозиции[[#This Row],[orderNum]],ТабЗаказы[#Data],MATCH(B$7,ТабЗаказы[#Headers],0),0),"")</f>
        <v>45592</v>
      </c>
      <c r="C1143" t="str">
        <f>MONTH(ТабПозиции[[#This Row],[date]])&amp;"/"&amp;YEAR(ТабПозиции[[#This Row],[date]])</f>
        <v>10/2024</v>
      </c>
      <c r="D1143" s="1" t="str">
        <f>IFERROR(VLOOKUP(ТабПозиции[[#This Row],[orderNum]],ТабЗаказы[#Data],MATCH(D$7,ТабЗаказы[#Headers],0),0),"")</f>
        <v/>
      </c>
      <c r="E1143" s="1" t="str">
        <f>IFERROR(VLOOKUP(ТабПозиции[[#This Row],[orderNum]],ТабЗаказы[#Data],MATCH(E$7,ТабЗаказы[#Headers],0),0),"")</f>
        <v/>
      </c>
      <c r="F1143" s="16" t="s">
        <v>1648</v>
      </c>
      <c r="G1143" s="40" t="s">
        <v>545</v>
      </c>
      <c r="I1143" s="18">
        <v>45597</v>
      </c>
      <c r="J1143" s="10">
        <v>1</v>
      </c>
      <c r="K1143" s="10">
        <v>171</v>
      </c>
      <c r="L1143">
        <v>171</v>
      </c>
      <c r="M1143" s="10">
        <v>180</v>
      </c>
      <c r="N1143">
        <f t="shared" si="21"/>
        <v>180</v>
      </c>
      <c r="P11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Row],[orderNum]],ТабПозиции[orderSumm])&gt;1500),ABS(N1143*VLOOKUP(ТабПозиции[[#This Row],[orderNum]],ТабЗаказы[#Data],MATCH("Percent",ТабЗаказы[#Headers],0),0))/100,200/COUNTIF(ТабПозиции[orderNum],ТабПозиции[[#This Row],[orderNum]])),0),"")</f>
        <v>18</v>
      </c>
      <c r="Q1143">
        <f>IF(OR(ТабПозиции[[#This Row],[item]]="По штрихкоду",ТабПозиции[[#This Row],[item]]="Посылка"),ТабПозиции[[#This Row],[deliverySumm]]+ТабПозиции[[#This Row],[deliveryPost]],SUM(N1143:P1143))</f>
        <v>198</v>
      </c>
      <c r="R1143" s="41">
        <v>198</v>
      </c>
      <c r="S1143" s="46">
        <f>ТабПозиции[[#This Row],[totalSumm]]-ТабПозиции[[#This Row],[payment]]</f>
        <v>0</v>
      </c>
      <c r="T1143" s="18" t="s">
        <v>970</v>
      </c>
      <c r="U1143" s="40" t="s">
        <v>545</v>
      </c>
      <c r="V1143" s="40" t="s">
        <v>545</v>
      </c>
      <c r="W1143" s="40" t="s">
        <v>545</v>
      </c>
      <c r="X1143" s="3"/>
      <c r="Y1143"/>
    </row>
    <row r="1144" spans="1:25" hidden="1" x14ac:dyDescent="0.25">
      <c r="A1144" s="10">
        <v>310</v>
      </c>
      <c r="B1144" s="1">
        <f>IFERROR(VLOOKUP(ТабПозиции[[#This Row],[orderNum]],ТабЗаказы[#Data],MATCH(B$7,ТабЗаказы[#Headers],0),0),"")</f>
        <v>45592</v>
      </c>
      <c r="C1144" t="str">
        <f>MONTH(ТабПозиции[[#This Row],[date]])&amp;"/"&amp;YEAR(ТабПозиции[[#This Row],[date]])</f>
        <v>10/2024</v>
      </c>
      <c r="D1144" s="1" t="str">
        <f>IFERROR(VLOOKUP(ТабПозиции[[#This Row],[orderNum]],ТабЗаказы[#Data],MATCH(D$7,ТабЗаказы[#Headers],0),0),"")</f>
        <v/>
      </c>
      <c r="E1144" s="1" t="str">
        <f>IFERROR(VLOOKUP(ТабПозиции[[#This Row],[orderNum]],ТабЗаказы[#Data],MATCH(E$7,ТабЗаказы[#Headers],0),0),"")</f>
        <v/>
      </c>
      <c r="F1144" s="16" t="s">
        <v>668</v>
      </c>
      <c r="G1144" s="40" t="s">
        <v>545</v>
      </c>
      <c r="I1144" s="18">
        <v>45596</v>
      </c>
      <c r="J1144" s="10">
        <v>1</v>
      </c>
      <c r="K1144" s="10">
        <v>455</v>
      </c>
      <c r="L1144">
        <v>455</v>
      </c>
      <c r="M1144" s="10">
        <v>479</v>
      </c>
      <c r="N1144">
        <f t="shared" si="21"/>
        <v>479</v>
      </c>
      <c r="P11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Row],[orderNum]],ТабПозиции[orderSumm])&gt;1500),ABS(N1144*VLOOKUP(ТабПозиции[[#This Row],[orderNum]],ТабЗаказы[#Data],MATCH("Percent",ТабЗаказы[#Headers],0),0))/100,200/COUNTIF(ТабПозиции[orderNum],ТабПозиции[[#This Row],[orderNum]])),0),"")</f>
        <v>48</v>
      </c>
      <c r="Q1144">
        <f>IF(OR(ТабПозиции[[#This Row],[item]]="По штрихкоду",ТабПозиции[[#This Row],[item]]="Посылка"),ТабПозиции[[#This Row],[deliverySumm]]+ТабПозиции[[#This Row],[deliveryPost]],SUM(N1144:P1144))</f>
        <v>527</v>
      </c>
      <c r="R1144" s="41">
        <v>527</v>
      </c>
      <c r="S1144" s="46">
        <f>ТабПозиции[[#This Row],[totalSumm]]-ТабПозиции[[#This Row],[payment]]</f>
        <v>0</v>
      </c>
      <c r="T1144" s="18" t="s">
        <v>970</v>
      </c>
      <c r="U1144" s="40" t="s">
        <v>545</v>
      </c>
      <c r="V1144" s="40" t="s">
        <v>545</v>
      </c>
      <c r="W1144" s="40" t="s">
        <v>545</v>
      </c>
      <c r="X1144" s="3"/>
      <c r="Y1144"/>
    </row>
    <row r="1145" spans="1:25" hidden="1" x14ac:dyDescent="0.25">
      <c r="A1145" s="10">
        <v>310</v>
      </c>
      <c r="B1145" s="1">
        <f>IFERROR(VLOOKUP(ТабПозиции[[#This Row],[orderNum]],ТабЗаказы[#Data],MATCH(B$7,ТабЗаказы[#Headers],0),0),"")</f>
        <v>45592</v>
      </c>
      <c r="C1145" t="str">
        <f>MONTH(ТабПозиции[[#This Row],[date]])&amp;"/"&amp;YEAR(ТабПозиции[[#This Row],[date]])</f>
        <v>10/2024</v>
      </c>
      <c r="D1145" s="1" t="str">
        <f>IFERROR(VLOOKUP(ТабПозиции[[#This Row],[orderNum]],ТабЗаказы[#Data],MATCH(D$7,ТабЗаказы[#Headers],0),0),"")</f>
        <v/>
      </c>
      <c r="E1145" s="1" t="str">
        <f>IFERROR(VLOOKUP(ТабПозиции[[#This Row],[orderNum]],ТабЗаказы[#Data],MATCH(E$7,ТабЗаказы[#Headers],0),0),"")</f>
        <v/>
      </c>
      <c r="F1145" s="16" t="s">
        <v>1649</v>
      </c>
      <c r="G1145" s="40" t="s">
        <v>545</v>
      </c>
      <c r="I1145" s="18">
        <v>45596</v>
      </c>
      <c r="J1145" s="10">
        <v>1</v>
      </c>
      <c r="K1145" s="10">
        <v>552</v>
      </c>
      <c r="L1145">
        <v>552</v>
      </c>
      <c r="M1145" s="10">
        <v>582</v>
      </c>
      <c r="N1145">
        <f t="shared" si="21"/>
        <v>582</v>
      </c>
      <c r="P11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Row],[orderNum]],ТабПозиции[orderSumm])&gt;1500),ABS(N1145*VLOOKUP(ТабПозиции[[#This Row],[orderNum]],ТабЗаказы[#Data],MATCH("Percent",ТабЗаказы[#Headers],0),0))/100,200/COUNTIF(ТабПозиции[orderNum],ТабПозиции[[#This Row],[orderNum]])),0),"")</f>
        <v>58</v>
      </c>
      <c r="Q1145">
        <f>IF(OR(ТабПозиции[[#This Row],[item]]="По штрихкоду",ТабПозиции[[#This Row],[item]]="Посылка"),ТабПозиции[[#This Row],[deliverySumm]]+ТабПозиции[[#This Row],[deliveryPost]],SUM(N1145:P1145))</f>
        <v>640</v>
      </c>
      <c r="R1145" s="41">
        <v>640</v>
      </c>
      <c r="S1145" s="46">
        <f>ТабПозиции[[#This Row],[totalSumm]]-ТабПозиции[[#This Row],[payment]]</f>
        <v>0</v>
      </c>
      <c r="T1145" s="18" t="s">
        <v>970</v>
      </c>
      <c r="U1145" s="40" t="s">
        <v>545</v>
      </c>
      <c r="V1145" s="40" t="s">
        <v>545</v>
      </c>
      <c r="W1145" s="40" t="s">
        <v>545</v>
      </c>
      <c r="X1145" s="3"/>
      <c r="Y1145"/>
    </row>
    <row r="1146" spans="1:25" hidden="1" x14ac:dyDescent="0.25">
      <c r="A1146" s="10">
        <v>310</v>
      </c>
      <c r="B1146" s="1">
        <f>IFERROR(VLOOKUP(ТабПозиции[[#This Row],[orderNum]],ТабЗаказы[#Data],MATCH(B$7,ТабЗаказы[#Headers],0),0),"")</f>
        <v>45592</v>
      </c>
      <c r="C1146" t="str">
        <f>MONTH(ТабПозиции[[#This Row],[date]])&amp;"/"&amp;YEAR(ТабПозиции[[#This Row],[date]])</f>
        <v>10/2024</v>
      </c>
      <c r="D1146" s="1" t="str">
        <f>IFERROR(VLOOKUP(ТабПозиции[[#This Row],[orderNum]],ТабЗаказы[#Data],MATCH(D$7,ТабЗаказы[#Headers],0),0),"")</f>
        <v/>
      </c>
      <c r="E1146" s="1" t="str">
        <f>IFERROR(VLOOKUP(ТабПозиции[[#This Row],[orderNum]],ТабЗаказы[#Data],MATCH(E$7,ТабЗаказы[#Headers],0),0),"")</f>
        <v/>
      </c>
      <c r="F1146" s="16" t="s">
        <v>668</v>
      </c>
      <c r="G1146" s="40" t="s">
        <v>545</v>
      </c>
      <c r="I1146" s="18">
        <v>45596</v>
      </c>
      <c r="J1146" s="10">
        <v>1</v>
      </c>
      <c r="K1146" s="10">
        <v>342</v>
      </c>
      <c r="L1146">
        <v>342</v>
      </c>
      <c r="M1146" s="10">
        <v>360</v>
      </c>
      <c r="N1146">
        <f t="shared" si="21"/>
        <v>360</v>
      </c>
      <c r="P11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Row],[orderNum]],ТабПозиции[orderSumm])&gt;1500),ABS(N1146*VLOOKUP(ТабПозиции[[#This Row],[orderNum]],ТабЗаказы[#Data],MATCH("Percent",ТабЗаказы[#Headers],0),0))/100,200/COUNTIF(ТабПозиции[orderNum],ТабПозиции[[#This Row],[orderNum]])),0),"")</f>
        <v>36</v>
      </c>
      <c r="Q1146">
        <f>IF(OR(ТабПозиции[[#This Row],[item]]="По штрихкоду",ТабПозиции[[#This Row],[item]]="Посылка"),ТабПозиции[[#This Row],[deliverySumm]]+ТабПозиции[[#This Row],[deliveryPost]],SUM(N1146:P1146))</f>
        <v>396</v>
      </c>
      <c r="R1146" s="41">
        <v>396</v>
      </c>
      <c r="S1146" s="46">
        <f>ТабПозиции[[#This Row],[totalSumm]]-ТабПозиции[[#This Row],[payment]]</f>
        <v>0</v>
      </c>
      <c r="T1146" s="18" t="s">
        <v>970</v>
      </c>
      <c r="U1146" s="40" t="s">
        <v>545</v>
      </c>
      <c r="V1146" s="40" t="s">
        <v>545</v>
      </c>
      <c r="W1146" s="40" t="s">
        <v>545</v>
      </c>
      <c r="X1146" s="3"/>
      <c r="Y1146"/>
    </row>
    <row r="1147" spans="1:25" hidden="1" x14ac:dyDescent="0.25">
      <c r="A1147" s="10">
        <v>311</v>
      </c>
      <c r="B1147" s="1">
        <f>IFERROR(VLOOKUP(ТабПозиции[[#This Row],[orderNum]],ТабЗаказы[#Data],MATCH(B$7,ТабЗаказы[#Headers],0),0),"")</f>
        <v>45593</v>
      </c>
      <c r="C1147" t="str">
        <f>MONTH(ТабПозиции[[#This Row],[date]])&amp;"/"&amp;YEAR(ТабПозиции[[#This Row],[date]])</f>
        <v>10/2024</v>
      </c>
      <c r="D1147" s="1" t="str">
        <f>IFERROR(VLOOKUP(ТабПозиции[[#This Row],[orderNum]],ТабЗаказы[#Data],MATCH(D$7,ТабЗаказы[#Headers],0),0),"")</f>
        <v/>
      </c>
      <c r="E1147" s="1" t="str">
        <f>IFERROR(VLOOKUP(ТабПозиции[[#This Row],[orderNum]],ТабЗаказы[#Data],MATCH(E$7,ТабЗаказы[#Headers],0),0),"")</f>
        <v/>
      </c>
      <c r="F1147" s="16" t="s">
        <v>1650</v>
      </c>
      <c r="G1147" s="40" t="s">
        <v>545</v>
      </c>
      <c r="H1147" s="12" t="s">
        <v>1651</v>
      </c>
      <c r="I1147" s="18">
        <v>45597</v>
      </c>
      <c r="J1147" s="10">
        <v>1</v>
      </c>
      <c r="K1147" s="10">
        <v>3000</v>
      </c>
      <c r="L1147">
        <f>ТабПозиции[[#This Row],[discountPrice]]*ТабПозиции[[#This Row],[quantity]]</f>
        <v>3000</v>
      </c>
      <c r="M1147" s="10">
        <v>3000</v>
      </c>
      <c r="N1147">
        <f t="shared" si="21"/>
        <v>3000</v>
      </c>
      <c r="O1147" s="10">
        <v>400</v>
      </c>
      <c r="P11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Row],[orderNum]],ТабПозиции[orderSumm])&gt;1500),ABS(N1147*VLOOKUP(ТабПозиции[[#This Row],[orderNum]],ТабЗаказы[#Data],MATCH("Percent",ТабЗаказы[#Headers],0),0))/100,200/COUNTIF(ТабПозиции[orderNum],ТабПозиции[[#This Row],[orderNum]])),0),"")</f>
        <v>450</v>
      </c>
      <c r="Q1147">
        <f>IF(OR(ТабПозиции[[#This Row],[item]]="По штрихкоду",ТабПозиции[[#This Row],[item]]="Посылка"),ТабПозиции[[#This Row],[deliverySumm]]+ТабПозиции[[#This Row],[deliveryPost]],SUM(N1147:P1147))</f>
        <v>3850</v>
      </c>
      <c r="R1147" s="41">
        <v>4000</v>
      </c>
      <c r="S1147" s="46">
        <f>ТабПозиции[[#This Row],[totalSumm]]-ТабПозиции[[#This Row],[payment]]</f>
        <v>-150</v>
      </c>
      <c r="T1147" s="18" t="s">
        <v>1021</v>
      </c>
      <c r="U1147" s="40" t="s">
        <v>545</v>
      </c>
      <c r="V1147" s="40" t="s">
        <v>545</v>
      </c>
      <c r="W1147" s="40" t="s">
        <v>545</v>
      </c>
      <c r="X1147" s="3"/>
      <c r="Y1147"/>
    </row>
    <row r="1148" spans="1:25" hidden="1" x14ac:dyDescent="0.25">
      <c r="A1148" s="10">
        <v>312</v>
      </c>
      <c r="B1148" s="1">
        <f>IFERROR(VLOOKUP(ТабПозиции[[#This Row],[orderNum]],ТабЗаказы[#Data],MATCH(B$7,ТабЗаказы[#Headers],0),0),"")</f>
        <v>45593</v>
      </c>
      <c r="C1148" t="str">
        <f>MONTH(ТабПозиции[[#This Row],[date]])&amp;"/"&amp;YEAR(ТабПозиции[[#This Row],[date]])</f>
        <v>10/2024</v>
      </c>
      <c r="D1148" s="1" t="str">
        <f>IFERROR(VLOOKUP(ТабПозиции[[#This Row],[orderNum]],ТабЗаказы[#Data],MATCH(D$7,ТабЗаказы[#Headers],0),0),"")</f>
        <v/>
      </c>
      <c r="E1148" s="1" t="str">
        <f>IFERROR(VLOOKUP(ТабПозиции[[#This Row],[orderNum]],ТабЗаказы[#Data],MATCH(E$7,ТабЗаказы[#Headers],0),0),"")</f>
        <v/>
      </c>
      <c r="F1148" s="16" t="s">
        <v>1652</v>
      </c>
      <c r="G1148" s="40" t="s">
        <v>545</v>
      </c>
      <c r="I1148" s="18">
        <v>45599</v>
      </c>
      <c r="J1148" s="10">
        <v>1</v>
      </c>
      <c r="K1148" s="10">
        <v>816</v>
      </c>
      <c r="L1148">
        <f>ТабПозиции[[#This Row],[discountPrice]]*ТабПозиции[[#This Row],[quantity]]</f>
        <v>816</v>
      </c>
      <c r="M1148" s="10">
        <v>886</v>
      </c>
      <c r="N1148">
        <f t="shared" si="21"/>
        <v>886</v>
      </c>
      <c r="P11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Row],[orderNum]],ТабПозиции[orderSumm])&gt;1500),ABS(N1148*VLOOKUP(ТабПозиции[[#This Row],[orderNum]],ТабЗаказы[#Data],MATCH("Percent",ТабЗаказы[#Headers],0),0))/100,200/COUNTIF(ТабПозиции[orderNum],ТабПозиции[[#This Row],[orderNum]])),0),"")</f>
        <v>133</v>
      </c>
      <c r="Q1148">
        <f>IF(OR(ТабПозиции[[#This Row],[item]]="По штрихкоду",ТабПозиции[[#This Row],[item]]="Посылка"),ТабПозиции[[#This Row],[deliverySumm]]+ТабПозиции[[#This Row],[deliveryPost]],SUM(N1148:P1148))</f>
        <v>1019</v>
      </c>
      <c r="R1148" s="41">
        <v>1019</v>
      </c>
      <c r="S1148" s="46">
        <f>ТабПозиции[[#This Row],[totalSumm]]-ТабПозиции[[#This Row],[payment]]</f>
        <v>0</v>
      </c>
      <c r="T1148" s="18" t="s">
        <v>960</v>
      </c>
      <c r="U1148" s="40" t="s">
        <v>545</v>
      </c>
      <c r="V1148" s="40" t="s">
        <v>545</v>
      </c>
      <c r="W1148" s="40" t="s">
        <v>545</v>
      </c>
      <c r="X1148" s="3"/>
      <c r="Y1148"/>
    </row>
    <row r="1149" spans="1:25" hidden="1" x14ac:dyDescent="0.25">
      <c r="A1149" s="10">
        <v>312</v>
      </c>
      <c r="B1149" s="1">
        <f>IFERROR(VLOOKUP(ТабПозиции[[#This Row],[orderNum]],ТабЗаказы[#Data],MATCH(B$7,ТабЗаказы[#Headers],0),0),"")</f>
        <v>45593</v>
      </c>
      <c r="C1149" t="str">
        <f>MONTH(ТабПозиции[[#This Row],[date]])&amp;"/"&amp;YEAR(ТабПозиции[[#This Row],[date]])</f>
        <v>10/2024</v>
      </c>
      <c r="D1149" s="1" t="str">
        <f>IFERROR(VLOOKUP(ТабПозиции[[#This Row],[orderNum]],ТабЗаказы[#Data],MATCH(D$7,ТабЗаказы[#Headers],0),0),"")</f>
        <v/>
      </c>
      <c r="E1149" s="1" t="str">
        <f>IFERROR(VLOOKUP(ТабПозиции[[#This Row],[orderNum]],ТабЗаказы[#Data],MATCH(E$7,ТабЗаказы[#Headers],0),0),"")</f>
        <v/>
      </c>
      <c r="F1149" s="16" t="s">
        <v>1653</v>
      </c>
      <c r="G1149" s="40" t="s">
        <v>545</v>
      </c>
      <c r="I1149" s="18">
        <v>45601</v>
      </c>
      <c r="J1149" s="10">
        <v>1</v>
      </c>
      <c r="K1149" s="10">
        <v>423</v>
      </c>
      <c r="L1149">
        <f>ТабПозиции[[#This Row],[discountPrice]]*ТабПозиции[[#This Row],[quantity]]</f>
        <v>423</v>
      </c>
      <c r="M1149" s="10">
        <v>436</v>
      </c>
      <c r="N1149">
        <f t="shared" si="21"/>
        <v>436</v>
      </c>
      <c r="P11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Row],[orderNum]],ТабПозиции[orderSumm])&gt;1500),ABS(N1149*VLOOKUP(ТабПозиции[[#This Row],[orderNum]],ТабЗаказы[#Data],MATCH("Percent",ТабЗаказы[#Headers],0),0))/100,200/COUNTIF(ТабПозиции[orderNum],ТабПозиции[[#This Row],[orderNum]])),0),"")</f>
        <v>65</v>
      </c>
      <c r="Q1149">
        <f>IF(OR(ТабПозиции[[#This Row],[item]]="По штрихкоду",ТабПозиции[[#This Row],[item]]="Посылка"),ТабПозиции[[#This Row],[deliverySumm]]+ТабПозиции[[#This Row],[deliveryPost]],SUM(N1149:P1149))</f>
        <v>501</v>
      </c>
      <c r="R1149" s="41">
        <v>501</v>
      </c>
      <c r="S1149" s="46">
        <f>ТабПозиции[[#This Row],[totalSumm]]-ТабПозиции[[#This Row],[payment]]</f>
        <v>0</v>
      </c>
      <c r="T1149" s="18" t="s">
        <v>960</v>
      </c>
      <c r="U1149" s="40" t="s">
        <v>545</v>
      </c>
      <c r="V1149" s="40" t="s">
        <v>545</v>
      </c>
      <c r="W1149" s="40" t="s">
        <v>545</v>
      </c>
      <c r="X1149" s="3"/>
      <c r="Y1149"/>
    </row>
    <row r="1150" spans="1:25" hidden="1" x14ac:dyDescent="0.25">
      <c r="A1150" s="10">
        <v>312</v>
      </c>
      <c r="B1150" s="1">
        <f>IFERROR(VLOOKUP(ТабПозиции[[#This Row],[orderNum]],ТабЗаказы[#Data],MATCH(B$7,ТабЗаказы[#Headers],0),0),"")</f>
        <v>45593</v>
      </c>
      <c r="C1150" t="str">
        <f>MONTH(ТабПозиции[[#This Row],[date]])&amp;"/"&amp;YEAR(ТабПозиции[[#This Row],[date]])</f>
        <v>10/2024</v>
      </c>
      <c r="D1150" s="1" t="str">
        <f>IFERROR(VLOOKUP(ТабПозиции[[#This Row],[orderNum]],ТабЗаказы[#Data],MATCH(D$7,ТабЗаказы[#Headers],0),0),"")</f>
        <v/>
      </c>
      <c r="E1150" s="1" t="str">
        <f>IFERROR(VLOOKUP(ТабПозиции[[#This Row],[orderNum]],ТабЗаказы[#Data],MATCH(E$7,ТабЗаказы[#Headers],0),0),"")</f>
        <v/>
      </c>
      <c r="F1150" s="16" t="s">
        <v>1654</v>
      </c>
      <c r="G1150" s="40" t="s">
        <v>545</v>
      </c>
      <c r="I1150" s="18">
        <v>45594</v>
      </c>
      <c r="J1150" s="10">
        <v>1</v>
      </c>
      <c r="K1150" s="10">
        <v>351</v>
      </c>
      <c r="L1150">
        <v>351</v>
      </c>
      <c r="M1150" s="10">
        <v>362</v>
      </c>
      <c r="N1150">
        <f t="shared" si="21"/>
        <v>362</v>
      </c>
      <c r="P11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Row],[orderNum]],ТабПозиции[orderSumm])&gt;1500),ABS(N1150*VLOOKUP(ТабПозиции[[#This Row],[orderNum]],ТабЗаказы[#Data],MATCH("Percent",ТабЗаказы[#Headers],0),0))/100,200/COUNTIF(ТабПозиции[orderNum],ТабПозиции[[#This Row],[orderNum]])),0),"")</f>
        <v>54</v>
      </c>
      <c r="Q1150">
        <f>IF(OR(ТабПозиции[[#This Row],[item]]="По штрихкоду",ТабПозиции[[#This Row],[item]]="Посылка"),ТабПозиции[[#This Row],[deliverySumm]]+ТабПозиции[[#This Row],[deliveryPost]],SUM(N1150:P1150))</f>
        <v>416</v>
      </c>
      <c r="R1150" s="41">
        <v>416</v>
      </c>
      <c r="S1150" s="46">
        <f>ТабПозиции[[#This Row],[totalSumm]]-ТабПозиции[[#This Row],[payment]]</f>
        <v>0</v>
      </c>
      <c r="T1150" s="18" t="s">
        <v>960</v>
      </c>
      <c r="U1150" s="40" t="s">
        <v>545</v>
      </c>
      <c r="V1150" s="40" t="s">
        <v>545</v>
      </c>
      <c r="W1150" s="40" t="s">
        <v>545</v>
      </c>
      <c r="X1150" s="3"/>
      <c r="Y1150"/>
    </row>
    <row r="1151" spans="1:25" hidden="1" x14ac:dyDescent="0.25">
      <c r="A1151" s="10">
        <v>312</v>
      </c>
      <c r="B1151" s="1">
        <f>IFERROR(VLOOKUP(ТабПозиции[[#This Row],[orderNum]],ТабЗаказы[#Data],MATCH(B$7,ТабЗаказы[#Headers],0),0),"")</f>
        <v>45593</v>
      </c>
      <c r="C1151" t="str">
        <f>MONTH(ТабПозиции[[#This Row],[date]])&amp;"/"&amp;YEAR(ТабПозиции[[#This Row],[date]])</f>
        <v>10/2024</v>
      </c>
      <c r="D1151" s="1" t="str">
        <f>IFERROR(VLOOKUP(ТабПозиции[[#This Row],[orderNum]],ТабЗаказы[#Data],MATCH(D$7,ТабЗаказы[#Headers],0),0),"")</f>
        <v/>
      </c>
      <c r="E1151" s="1" t="str">
        <f>IFERROR(VLOOKUP(ТабПозиции[[#This Row],[orderNum]],ТабЗаказы[#Data],MATCH(E$7,ТабЗаказы[#Headers],0),0),"")</f>
        <v/>
      </c>
      <c r="F1151" s="16" t="s">
        <v>1655</v>
      </c>
      <c r="G1151" s="40" t="s">
        <v>545</v>
      </c>
      <c r="I1151" s="18">
        <v>45598</v>
      </c>
      <c r="J1151" s="10">
        <v>1</v>
      </c>
      <c r="K1151" s="10">
        <v>327</v>
      </c>
      <c r="L1151">
        <f>ТабПозиции[[#This Row],[discountPrice]]*ТабПозиции[[#This Row],[quantity]]</f>
        <v>327</v>
      </c>
      <c r="M1151" s="10">
        <v>337</v>
      </c>
      <c r="N1151">
        <f t="shared" si="21"/>
        <v>337</v>
      </c>
      <c r="P11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Row],[orderNum]],ТабПозиции[orderSumm])&gt;1500),ABS(N1151*VLOOKUP(ТабПозиции[[#This Row],[orderNum]],ТабЗаказы[#Data],MATCH("Percent",ТабЗаказы[#Headers],0),0))/100,200/COUNTIF(ТабПозиции[orderNum],ТабПозиции[[#This Row],[orderNum]])),0),"")</f>
        <v>51</v>
      </c>
      <c r="Q1151">
        <f>IF(OR(ТабПозиции[[#This Row],[item]]="По штрихкоду",ТабПозиции[[#This Row],[item]]="Посылка"),ТабПозиции[[#This Row],[deliverySumm]]+ТабПозиции[[#This Row],[deliveryPost]],SUM(N1151:P1151))</f>
        <v>388</v>
      </c>
      <c r="R1151" s="41">
        <v>388</v>
      </c>
      <c r="S1151" s="46">
        <f>ТабПозиции[[#This Row],[totalSumm]]-ТабПозиции[[#This Row],[payment]]</f>
        <v>0</v>
      </c>
      <c r="T1151" s="18" t="s">
        <v>960</v>
      </c>
      <c r="U1151" s="40" t="s">
        <v>545</v>
      </c>
      <c r="V1151" s="40" t="s">
        <v>545</v>
      </c>
      <c r="W1151" s="40" t="s">
        <v>545</v>
      </c>
      <c r="X1151" s="3"/>
      <c r="Y1151"/>
    </row>
    <row r="1152" spans="1:25" hidden="1" x14ac:dyDescent="0.25">
      <c r="A1152" s="10">
        <v>312</v>
      </c>
      <c r="B1152" s="1">
        <f>IFERROR(VLOOKUP(ТабПозиции[[#This Row],[orderNum]],ТабЗаказы[#Data],MATCH(B$7,ТабЗаказы[#Headers],0),0),"")</f>
        <v>45593</v>
      </c>
      <c r="C1152" t="str">
        <f>MONTH(ТабПозиции[[#This Row],[date]])&amp;"/"&amp;YEAR(ТабПозиции[[#This Row],[date]])</f>
        <v>10/2024</v>
      </c>
      <c r="D1152" s="1" t="str">
        <f>IFERROR(VLOOKUP(ТабПозиции[[#This Row],[orderNum]],ТабЗаказы[#Data],MATCH(D$7,ТабЗаказы[#Headers],0),0),"")</f>
        <v/>
      </c>
      <c r="E1152" s="1" t="str">
        <f>IFERROR(VLOOKUP(ТабПозиции[[#This Row],[orderNum]],ТабЗаказы[#Data],MATCH(E$7,ТабЗаказы[#Headers],0),0),"")</f>
        <v/>
      </c>
      <c r="F1152" s="16" t="s">
        <v>1656</v>
      </c>
      <c r="G1152" s="40" t="s">
        <v>545</v>
      </c>
      <c r="I1152" s="18">
        <v>45594</v>
      </c>
      <c r="J1152" s="10">
        <v>1</v>
      </c>
      <c r="K1152" s="10">
        <v>1726</v>
      </c>
      <c r="L1152">
        <v>1726</v>
      </c>
      <c r="M1152" s="10">
        <v>1871</v>
      </c>
      <c r="N1152">
        <f t="shared" si="21"/>
        <v>1871</v>
      </c>
      <c r="P11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Row],[orderNum]],ТабПозиции[orderSumm])&gt;1500),ABS(N1152*VLOOKUP(ТабПозиции[[#This Row],[orderNum]],ТабЗаказы[#Data],MATCH("Percent",ТабЗаказы[#Headers],0),0))/100,200/COUNTIF(ТабПозиции[orderNum],ТабПозиции[[#This Row],[orderNum]])),0),"")</f>
        <v>281</v>
      </c>
      <c r="Q1152">
        <f>IF(OR(ТабПозиции[[#This Row],[item]]="По штрихкоду",ТабПозиции[[#This Row],[item]]="Посылка"),ТабПозиции[[#This Row],[deliverySumm]]+ТабПозиции[[#This Row],[deliveryPost]],SUM(N1152:P1152))</f>
        <v>2152</v>
      </c>
      <c r="R1152" s="41">
        <v>2152</v>
      </c>
      <c r="S1152" s="46">
        <f>ТабПозиции[[#This Row],[totalSumm]]-ТабПозиции[[#This Row],[payment]]</f>
        <v>0</v>
      </c>
      <c r="T1152" s="18" t="s">
        <v>960</v>
      </c>
      <c r="U1152" s="40" t="s">
        <v>545</v>
      </c>
      <c r="V1152" s="40" t="s">
        <v>545</v>
      </c>
      <c r="W1152" s="40" t="s">
        <v>545</v>
      </c>
      <c r="X1152" s="3"/>
      <c r="Y1152"/>
    </row>
    <row r="1153" spans="1:25" hidden="1" x14ac:dyDescent="0.25">
      <c r="A1153" s="10">
        <v>312</v>
      </c>
      <c r="B1153" s="1">
        <f>IFERROR(VLOOKUP(ТабПозиции[[#This Row],[orderNum]],ТабЗаказы[#Data],MATCH(B$7,ТабЗаказы[#Headers],0),0),"")</f>
        <v>45593</v>
      </c>
      <c r="C1153" t="str">
        <f>MONTH(ТабПозиции[[#This Row],[date]])&amp;"/"&amp;YEAR(ТабПозиции[[#This Row],[date]])</f>
        <v>10/2024</v>
      </c>
      <c r="D1153" s="1" t="str">
        <f>IFERROR(VLOOKUP(ТабПозиции[[#This Row],[orderNum]],ТабЗаказы[#Data],MATCH(D$7,ТабЗаказы[#Headers],0),0),"")</f>
        <v/>
      </c>
      <c r="E1153" s="1" t="str">
        <f>IFERROR(VLOOKUP(ТабПозиции[[#This Row],[orderNum]],ТабЗаказы[#Data],MATCH(E$7,ТабЗаказы[#Headers],0),0),"")</f>
        <v/>
      </c>
      <c r="F1153" s="16" t="s">
        <v>1657</v>
      </c>
      <c r="G1153" s="40" t="s">
        <v>545</v>
      </c>
      <c r="I1153" s="18">
        <v>45596</v>
      </c>
      <c r="J1153" s="10">
        <v>1</v>
      </c>
      <c r="K1153" s="10">
        <v>540</v>
      </c>
      <c r="L1153">
        <v>540</v>
      </c>
      <c r="M1153" s="10">
        <v>578</v>
      </c>
      <c r="N1153">
        <f t="shared" si="21"/>
        <v>578</v>
      </c>
      <c r="P11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Row],[orderNum]],ТабПозиции[orderSumm])&gt;1500),ABS(N1153*VLOOKUP(ТабПозиции[[#This Row],[orderNum]],ТабЗаказы[#Data],MATCH("Percent",ТабЗаказы[#Headers],0),0))/100,200/COUNTIF(ТабПозиции[orderNum],ТабПозиции[[#This Row],[orderNum]])),0),"")</f>
        <v>87</v>
      </c>
      <c r="Q1153">
        <f>IF(OR(ТабПозиции[[#This Row],[item]]="По штрихкоду",ТабПозиции[[#This Row],[item]]="Посылка"),ТабПозиции[[#This Row],[deliverySumm]]+ТабПозиции[[#This Row],[deliveryPost]],SUM(N1153:P1153))</f>
        <v>665</v>
      </c>
      <c r="R1153" s="41">
        <v>665</v>
      </c>
      <c r="S1153" s="46">
        <f>ТабПозиции[[#This Row],[totalSumm]]-ТабПозиции[[#This Row],[payment]]</f>
        <v>0</v>
      </c>
      <c r="T1153" s="18" t="s">
        <v>960</v>
      </c>
      <c r="U1153" s="40" t="s">
        <v>545</v>
      </c>
      <c r="V1153" s="40" t="s">
        <v>545</v>
      </c>
      <c r="W1153" s="40" t="s">
        <v>545</v>
      </c>
      <c r="X1153" s="3"/>
      <c r="Y1153"/>
    </row>
    <row r="1154" spans="1:25" hidden="1" x14ac:dyDescent="0.25">
      <c r="A1154" s="10">
        <v>312</v>
      </c>
      <c r="B1154" s="1">
        <f>IFERROR(VLOOKUP(ТабПозиции[[#This Row],[orderNum]],ТабЗаказы[#Data],MATCH(B$7,ТабЗаказы[#Headers],0),0),"")</f>
        <v>45593</v>
      </c>
      <c r="C1154" t="str">
        <f>MONTH(ТабПозиции[[#This Row],[date]])&amp;"/"&amp;YEAR(ТабПозиции[[#This Row],[date]])</f>
        <v>10/2024</v>
      </c>
      <c r="D1154" s="1" t="str">
        <f>IFERROR(VLOOKUP(ТабПозиции[[#This Row],[orderNum]],ТабЗаказы[#Data],MATCH(D$7,ТабЗаказы[#Headers],0),0),"")</f>
        <v/>
      </c>
      <c r="E1154" s="1" t="str">
        <f>IFERROR(VLOOKUP(ТабПозиции[[#This Row],[orderNum]],ТабЗаказы[#Data],MATCH(E$7,ТабЗаказы[#Headers],0),0),"")</f>
        <v/>
      </c>
      <c r="F1154" s="16" t="s">
        <v>1658</v>
      </c>
      <c r="G1154" s="40" t="s">
        <v>545</v>
      </c>
      <c r="I1154" s="18">
        <v>45601</v>
      </c>
      <c r="J1154" s="10">
        <v>1</v>
      </c>
      <c r="K1154" s="10">
        <v>247</v>
      </c>
      <c r="L1154">
        <f>ТабПозиции[[#This Row],[discountPrice]]*ТабПозиции[[#This Row],[quantity]]</f>
        <v>247</v>
      </c>
      <c r="M1154" s="10">
        <v>258</v>
      </c>
      <c r="N1154">
        <f t="shared" si="21"/>
        <v>258</v>
      </c>
      <c r="P11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Row],[orderNum]],ТабПозиции[orderSumm])&gt;1500),ABS(N1154*VLOOKUP(ТабПозиции[[#This Row],[orderNum]],ТабЗаказы[#Data],MATCH("Percent",ТабЗаказы[#Headers],0),0))/100,200/COUNTIF(ТабПозиции[orderNum],ТабПозиции[[#This Row],[orderNum]])),0),"")</f>
        <v>39</v>
      </c>
      <c r="Q1154">
        <f>IF(OR(ТабПозиции[[#This Row],[item]]="По штрихкоду",ТабПозиции[[#This Row],[item]]="Посылка"),ТабПозиции[[#This Row],[deliverySumm]]+ТабПозиции[[#This Row],[deliveryPost]],SUM(N1154:P1154))</f>
        <v>297</v>
      </c>
      <c r="R1154" s="41">
        <v>297</v>
      </c>
      <c r="S1154" s="46">
        <f>ТабПозиции[[#This Row],[totalSumm]]-ТабПозиции[[#This Row],[payment]]</f>
        <v>0</v>
      </c>
      <c r="T1154" s="18" t="s">
        <v>960</v>
      </c>
      <c r="U1154" s="40" t="s">
        <v>545</v>
      </c>
      <c r="V1154" s="40" t="s">
        <v>545</v>
      </c>
      <c r="W1154" s="40" t="s">
        <v>545</v>
      </c>
      <c r="X1154" s="3"/>
      <c r="Y1154"/>
    </row>
    <row r="1155" spans="1:25" hidden="1" x14ac:dyDescent="0.25">
      <c r="A1155" s="10">
        <v>313</v>
      </c>
      <c r="B1155" s="1">
        <f>IFERROR(VLOOKUP(ТабПозиции[[#This Row],[orderNum]],ТабЗаказы[#Data],MATCH(B$7,ТабЗаказы[#Headers],0),0),"")</f>
        <v>45593</v>
      </c>
      <c r="C1155" t="str">
        <f>MONTH(ТабПозиции[[#This Row],[date]])&amp;"/"&amp;YEAR(ТабПозиции[[#This Row],[date]])</f>
        <v>10/2024</v>
      </c>
      <c r="D1155" s="1" t="str">
        <f>IFERROR(VLOOKUP(ТабПозиции[[#This Row],[orderNum]],ТабЗаказы[#Data],MATCH(D$7,ТабЗаказы[#Headers],0),0),"")</f>
        <v/>
      </c>
      <c r="E1155" s="1" t="str">
        <f>IFERROR(VLOOKUP(ТабПозиции[[#This Row],[orderNum]],ТабЗаказы[#Data],MATCH(E$7,ТабЗаказы[#Headers],0),0),"")</f>
        <v/>
      </c>
      <c r="F1155" s="16" t="s">
        <v>1659</v>
      </c>
      <c r="G1155" s="40" t="s">
        <v>545</v>
      </c>
      <c r="I1155" s="18">
        <v>45596</v>
      </c>
      <c r="J1155" s="10">
        <v>1</v>
      </c>
      <c r="K1155" s="10">
        <v>503</v>
      </c>
      <c r="L1155">
        <f>ТабПозиции[[#This Row],[discountPrice]]*ТабПозиции[[#This Row],[quantity]]</f>
        <v>503</v>
      </c>
      <c r="M1155" s="10">
        <v>535</v>
      </c>
      <c r="N1155">
        <f t="shared" si="21"/>
        <v>535</v>
      </c>
      <c r="P11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Row],[orderNum]],ТабПозиции[orderSumm])&gt;1500),ABS(N1155*VLOOKUP(ТабПозиции[[#This Row],[orderNum]],ТабЗаказы[#Data],MATCH("Percent",ТабЗаказы[#Headers],0),0))/100,200/COUNTIF(ТабПозиции[orderNum],ТабПозиции[[#This Row],[orderNum]])),0),"")</f>
        <v>80</v>
      </c>
      <c r="Q1155">
        <f>IF(OR(ТабПозиции[[#This Row],[item]]="По штрихкоду",ТабПозиции[[#This Row],[item]]="Посылка"),ТабПозиции[[#This Row],[deliverySumm]]+ТабПозиции[[#This Row],[deliveryPost]],SUM(N1155:P1155))</f>
        <v>615</v>
      </c>
      <c r="R1155" s="41">
        <v>615</v>
      </c>
      <c r="S1155" s="46">
        <f>ТабПозиции[[#This Row],[totalSumm]]-ТабПозиции[[#This Row],[payment]]</f>
        <v>0</v>
      </c>
      <c r="T1155" s="18" t="s">
        <v>960</v>
      </c>
      <c r="U1155" s="40" t="s">
        <v>545</v>
      </c>
      <c r="V1155" s="40" t="s">
        <v>545</v>
      </c>
      <c r="W1155" s="40" t="s">
        <v>545</v>
      </c>
      <c r="X1155" s="3"/>
      <c r="Y1155"/>
    </row>
    <row r="1156" spans="1:25" hidden="1" x14ac:dyDescent="0.25">
      <c r="A1156" s="10">
        <v>313</v>
      </c>
      <c r="B1156" s="1">
        <f>IFERROR(VLOOKUP(ТабПозиции[[#This Row],[orderNum]],ТабЗаказы[#Data],MATCH(B$7,ТабЗаказы[#Headers],0),0),"")</f>
        <v>45593</v>
      </c>
      <c r="C1156" t="str">
        <f>MONTH(ТабПозиции[[#This Row],[date]])&amp;"/"&amp;YEAR(ТабПозиции[[#This Row],[date]])</f>
        <v>10/2024</v>
      </c>
      <c r="D1156" s="1" t="str">
        <f>IFERROR(VLOOKUP(ТабПозиции[[#This Row],[orderNum]],ТабЗаказы[#Data],MATCH(D$7,ТабЗаказы[#Headers],0),0),"")</f>
        <v/>
      </c>
      <c r="E1156" s="1" t="str">
        <f>IFERROR(VLOOKUP(ТабПозиции[[#This Row],[orderNum]],ТабЗаказы[#Data],MATCH(E$7,ТабЗаказы[#Headers],0),0),"")</f>
        <v/>
      </c>
      <c r="F1156" s="16" t="s">
        <v>1660</v>
      </c>
      <c r="G1156" s="40" t="s">
        <v>552</v>
      </c>
      <c r="I1156" s="18">
        <v>45599</v>
      </c>
      <c r="J1156" s="10">
        <v>1</v>
      </c>
      <c r="K1156" s="10">
        <v>1674</v>
      </c>
      <c r="L1156">
        <f>ТабПозиции[[#This Row],[discountPrice]]*ТабПозиции[[#This Row],[quantity]]</f>
        <v>1674</v>
      </c>
      <c r="M1156" s="10">
        <v>1794</v>
      </c>
      <c r="N1156">
        <f t="shared" si="21"/>
        <v>1794</v>
      </c>
      <c r="P11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Row],[orderNum]],ТабПозиции[orderSumm])&gt;1500),ABS(N1156*VLOOKUP(ТабПозиции[[#This Row],[orderNum]],ТабЗаказы[#Data],MATCH("Percent",ТабЗаказы[#Headers],0),0))/100,200/COUNTIF(ТабПозиции[orderNum],ТабПозиции[[#This Row],[orderNum]])),0),"")</f>
        <v>269</v>
      </c>
      <c r="Q1156">
        <f>IF(OR(ТабПозиции[[#This Row],[item]]="По штрихкоду",ТабПозиции[[#This Row],[item]]="Посылка"),ТабПозиции[[#This Row],[deliverySumm]]+ТабПозиции[[#This Row],[deliveryPost]],SUM(N1156:P1156))</f>
        <v>2063</v>
      </c>
      <c r="R1156" s="41">
        <v>2063</v>
      </c>
      <c r="S1156" s="46">
        <f>ТабПозиции[[#This Row],[totalSumm]]-ТабПозиции[[#This Row],[payment]]</f>
        <v>0</v>
      </c>
      <c r="T1156" s="18" t="s">
        <v>960</v>
      </c>
      <c r="U1156" s="40" t="s">
        <v>545</v>
      </c>
      <c r="V1156" s="40" t="s">
        <v>545</v>
      </c>
      <c r="W1156" s="40" t="s">
        <v>545</v>
      </c>
      <c r="X1156" s="3"/>
      <c r="Y1156"/>
    </row>
    <row r="1157" spans="1:25" hidden="1" x14ac:dyDescent="0.25">
      <c r="A1157" s="10">
        <v>313</v>
      </c>
      <c r="B1157" s="1">
        <f>IFERROR(VLOOKUP(ТабПозиции[[#This Row],[orderNum]],ТабЗаказы[#Data],MATCH(B$7,ТабЗаказы[#Headers],0),0),"")</f>
        <v>45593</v>
      </c>
      <c r="C1157" t="str">
        <f>MONTH(ТабПозиции[[#This Row],[date]])&amp;"/"&amp;YEAR(ТабПозиции[[#This Row],[date]])</f>
        <v>10/2024</v>
      </c>
      <c r="D1157" s="1" t="str">
        <f>IFERROR(VLOOKUP(ТабПозиции[[#This Row],[orderNum]],ТабЗаказы[#Data],MATCH(D$7,ТабЗаказы[#Headers],0),0),"")</f>
        <v/>
      </c>
      <c r="E1157" s="1" t="str">
        <f>IFERROR(VLOOKUP(ТабПозиции[[#This Row],[orderNum]],ТабЗаказы[#Data],MATCH(E$7,ТабЗаказы[#Headers],0),0),"")</f>
        <v/>
      </c>
      <c r="F1157" s="16" t="s">
        <v>1661</v>
      </c>
      <c r="G1157" s="40" t="s">
        <v>545</v>
      </c>
      <c r="I1157" s="18">
        <v>45600</v>
      </c>
      <c r="J1157" s="10">
        <v>1</v>
      </c>
      <c r="K1157" s="10">
        <v>2255</v>
      </c>
      <c r="L1157">
        <f>ТабПозиции[[#This Row],[discountPrice]]*ТабПозиции[[#This Row],[quantity]]</f>
        <v>2255</v>
      </c>
      <c r="M1157" s="10">
        <v>2421</v>
      </c>
      <c r="N1157">
        <f t="shared" si="21"/>
        <v>2421</v>
      </c>
      <c r="P11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Row],[orderNum]],ТабПозиции[orderSumm])&gt;1500),ABS(N1157*VLOOKUP(ТабПозиции[[#This Row],[orderNum]],ТабЗаказы[#Data],MATCH("Percent",ТабЗаказы[#Headers],0),0))/100,200/COUNTIF(ТабПозиции[orderNum],ТабПозиции[[#This Row],[orderNum]])),0),"")</f>
        <v>363</v>
      </c>
      <c r="Q1157">
        <f>IF(OR(ТабПозиции[[#This Row],[item]]="По штрихкоду",ТабПозиции[[#This Row],[item]]="Посылка"),ТабПозиции[[#This Row],[deliverySumm]]+ТабПозиции[[#This Row],[deliveryPost]],SUM(N1157:P1157))</f>
        <v>2784</v>
      </c>
      <c r="R1157" s="41">
        <v>2784</v>
      </c>
      <c r="S1157" s="46">
        <f>ТабПозиции[[#This Row],[totalSumm]]-ТабПозиции[[#This Row],[payment]]</f>
        <v>0</v>
      </c>
      <c r="T1157" s="18" t="s">
        <v>960</v>
      </c>
      <c r="U1157" s="40" t="s">
        <v>545</v>
      </c>
      <c r="V1157" s="40" t="s">
        <v>545</v>
      </c>
      <c r="W1157" s="40" t="s">
        <v>545</v>
      </c>
      <c r="X1157" s="3"/>
      <c r="Y1157"/>
    </row>
    <row r="1158" spans="1:25" hidden="1" x14ac:dyDescent="0.25">
      <c r="A1158" s="10">
        <v>314</v>
      </c>
      <c r="B1158" s="1">
        <f>IFERROR(VLOOKUP(ТабПозиции[[#This Row],[orderNum]],ТабЗаказы[#Data],MATCH(B$7,ТабЗаказы[#Headers],0),0),"")</f>
        <v>45594</v>
      </c>
      <c r="C1158" t="str">
        <f>MONTH(ТабПозиции[[#This Row],[date]])&amp;"/"&amp;YEAR(ТабПозиции[[#This Row],[date]])</f>
        <v>10/2024</v>
      </c>
      <c r="D1158" s="1" t="str">
        <f>IFERROR(VLOOKUP(ТабПозиции[[#This Row],[orderNum]],ТабЗаказы[#Data],MATCH(D$7,ТабЗаказы[#Headers],0),0),"")</f>
        <v/>
      </c>
      <c r="E1158" s="1" t="str">
        <f>IFERROR(VLOOKUP(ТабПозиции[[#This Row],[orderNum]],ТабЗаказы[#Data],MATCH(E$7,ТабЗаказы[#Headers],0),0),"")</f>
        <v/>
      </c>
      <c r="F1158" s="51" t="s">
        <v>1662</v>
      </c>
      <c r="G1158" s="40" t="s">
        <v>545</v>
      </c>
      <c r="I1158" s="18">
        <v>45600</v>
      </c>
      <c r="J1158" s="10">
        <v>1</v>
      </c>
      <c r="K1158" s="10">
        <v>135</v>
      </c>
      <c r="L1158">
        <v>135</v>
      </c>
      <c r="M1158" s="10">
        <v>143</v>
      </c>
      <c r="N1158">
        <f t="shared" ref="N1158" si="22">M1158*J1158</f>
        <v>143</v>
      </c>
      <c r="P11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Row],[orderNum]],ТабПозиции[orderSumm])&gt;1500),ABS(N1158*VLOOKUP(ТабПозиции[[#This Row],[orderNum]],ТабЗаказы[#Data],MATCH("Percent",ТабЗаказы[#Headers],0),0))/100,200/COUNTIF(ТабПозиции[orderNum],ТабПозиции[[#This Row],[orderNum]])),0),"")</f>
        <v>21</v>
      </c>
      <c r="Q1158">
        <f>IF(OR(ТабПозиции[[#This Row],[item]]="По штрихкоду",ТабПозиции[[#This Row],[item]]="Посылка"),ТабПозиции[[#This Row],[deliverySumm]]+ТабПозиции[[#This Row],[deliveryPost]],SUM(N1158:P1158))</f>
        <v>164</v>
      </c>
      <c r="R1158" s="41">
        <v>164</v>
      </c>
      <c r="S1158" s="46">
        <f>ТабПозиции[[#This Row],[totalSumm]]-ТабПозиции[[#This Row],[payment]]</f>
        <v>0</v>
      </c>
      <c r="T1158" s="18" t="s">
        <v>970</v>
      </c>
      <c r="U1158" s="40" t="s">
        <v>545</v>
      </c>
      <c r="V1158" s="40" t="s">
        <v>545</v>
      </c>
      <c r="W1158" s="40" t="s">
        <v>545</v>
      </c>
      <c r="X1158" s="3"/>
      <c r="Y1158"/>
    </row>
    <row r="1159" spans="1:25" hidden="1" x14ac:dyDescent="0.25">
      <c r="A1159" s="10">
        <v>314</v>
      </c>
      <c r="B1159" s="1">
        <f>IFERROR(VLOOKUP(ТабПозиции[[#This Row],[orderNum]],ТабЗаказы[#Data],MATCH(B$7,ТабЗаказы[#Headers],0),0),"")</f>
        <v>45594</v>
      </c>
      <c r="C1159" t="str">
        <f>MONTH(ТабПозиции[[#This Row],[date]])&amp;"/"&amp;YEAR(ТабПозиции[[#This Row],[date]])</f>
        <v>10/2024</v>
      </c>
      <c r="D1159" s="1" t="str">
        <f>IFERROR(VLOOKUP(ТабПозиции[[#This Row],[orderNum]],ТабЗаказы[#Data],MATCH(D$7,ТабЗаказы[#Headers],0),0),"")</f>
        <v/>
      </c>
      <c r="E1159" s="1" t="str">
        <f>IFERROR(VLOOKUP(ТабПозиции[[#This Row],[orderNum]],ТабЗаказы[#Data],MATCH(E$7,ТабЗаказы[#Headers],0),0),"")</f>
        <v/>
      </c>
      <c r="F1159" s="51" t="s">
        <v>1662</v>
      </c>
      <c r="G1159" s="40" t="s">
        <v>545</v>
      </c>
      <c r="I1159" s="18">
        <v>45600</v>
      </c>
      <c r="J1159" s="10">
        <v>1</v>
      </c>
      <c r="K1159" s="10">
        <v>135</v>
      </c>
      <c r="L1159">
        <f>ТабПозиции[[#This Row],[discountPrice]]*ТабПозиции[[#This Row],[quantity]]</f>
        <v>135</v>
      </c>
      <c r="M1159" s="10">
        <v>143</v>
      </c>
      <c r="N1159">
        <f t="shared" si="21"/>
        <v>143</v>
      </c>
      <c r="P11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Row],[orderNum]],ТабПозиции[orderSumm])&gt;1500),ABS(N1159*VLOOKUP(ТабПозиции[[#This Row],[orderNum]],ТабЗаказы[#Data],MATCH("Percent",ТабЗаказы[#Headers],0),0))/100,200/COUNTIF(ТабПозиции[orderNum],ТабПозиции[[#This Row],[orderNum]])),0),"")</f>
        <v>21</v>
      </c>
      <c r="Q1159">
        <f>IF(OR(ТабПозиции[[#This Row],[item]]="По штрихкоду",ТабПозиции[[#This Row],[item]]="Посылка"),ТабПозиции[[#This Row],[deliverySumm]]+ТабПозиции[[#This Row],[deliveryPost]],SUM(N1159:P1159))</f>
        <v>164</v>
      </c>
      <c r="R1159" s="41">
        <v>164</v>
      </c>
      <c r="S1159" s="46">
        <f>ТабПозиции[[#This Row],[totalSumm]]-ТабПозиции[[#This Row],[payment]]</f>
        <v>0</v>
      </c>
      <c r="T1159" s="18" t="s">
        <v>970</v>
      </c>
      <c r="U1159" s="40" t="s">
        <v>545</v>
      </c>
      <c r="V1159" s="40" t="s">
        <v>545</v>
      </c>
      <c r="W1159" s="40" t="s">
        <v>545</v>
      </c>
      <c r="X1159" s="3"/>
      <c r="Y1159"/>
    </row>
    <row r="1160" spans="1:25" hidden="1" x14ac:dyDescent="0.25">
      <c r="A1160" s="10">
        <v>314</v>
      </c>
      <c r="B1160" s="1">
        <f>IFERROR(VLOOKUP(ТабПозиции[[#This Row],[orderNum]],ТабЗаказы[#Data],MATCH(B$7,ТабЗаказы[#Headers],0),0),"")</f>
        <v>45594</v>
      </c>
      <c r="C1160" t="str">
        <f>MONTH(ТабПозиции[[#This Row],[date]])&amp;"/"&amp;YEAR(ТабПозиции[[#This Row],[date]])</f>
        <v>10/2024</v>
      </c>
      <c r="D1160" s="1" t="str">
        <f>IFERROR(VLOOKUP(ТабПозиции[[#This Row],[orderNum]],ТабЗаказы[#Data],MATCH(D$7,ТабЗаказы[#Headers],0),0),"")</f>
        <v/>
      </c>
      <c r="E1160" s="1" t="str">
        <f>IFERROR(VLOOKUP(ТабПозиции[[#This Row],[orderNum]],ТабЗаказы[#Data],MATCH(E$7,ТабЗаказы[#Headers],0),0),"")</f>
        <v/>
      </c>
      <c r="F1160" s="16" t="s">
        <v>1663</v>
      </c>
      <c r="G1160" s="40" t="s">
        <v>545</v>
      </c>
      <c r="I1160" s="18">
        <v>45598</v>
      </c>
      <c r="J1160" s="10">
        <v>1</v>
      </c>
      <c r="K1160" s="10">
        <v>262</v>
      </c>
      <c r="L1160">
        <v>262</v>
      </c>
      <c r="M1160" s="10">
        <v>276</v>
      </c>
      <c r="N1160">
        <f t="shared" si="21"/>
        <v>276</v>
      </c>
      <c r="P11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Row],[orderNum]],ТабПозиции[orderSumm])&gt;1500),ABS(N1160*VLOOKUP(ТабПозиции[[#This Row],[orderNum]],ТабЗаказы[#Data],MATCH("Percent",ТабЗаказы[#Headers],0),0))/100,200/COUNTIF(ТабПозиции[orderNum],ТабПозиции[[#This Row],[orderNum]])),0),"")</f>
        <v>41</v>
      </c>
      <c r="Q1160">
        <f>IF(OR(ТабПозиции[[#This Row],[item]]="По штрихкоду",ТабПозиции[[#This Row],[item]]="Посылка"),ТабПозиции[[#This Row],[deliverySumm]]+ТабПозиции[[#This Row],[deliveryPost]],SUM(N1160:P1160))</f>
        <v>317</v>
      </c>
      <c r="R1160" s="41">
        <v>317</v>
      </c>
      <c r="S1160" s="46">
        <f>ТабПозиции[[#This Row],[totalSumm]]-ТабПозиции[[#This Row],[payment]]</f>
        <v>0</v>
      </c>
      <c r="T1160" s="18" t="s">
        <v>970</v>
      </c>
      <c r="U1160" s="40" t="s">
        <v>545</v>
      </c>
      <c r="V1160" s="40" t="s">
        <v>545</v>
      </c>
      <c r="W1160" s="40" t="s">
        <v>545</v>
      </c>
      <c r="X1160" s="3"/>
      <c r="Y1160"/>
    </row>
    <row r="1161" spans="1:25" hidden="1" x14ac:dyDescent="0.25">
      <c r="A1161" s="10">
        <v>314</v>
      </c>
      <c r="B1161" s="1">
        <f>IFERROR(VLOOKUP(ТабПозиции[[#This Row],[orderNum]],ТабЗаказы[#Data],MATCH(B$7,ТабЗаказы[#Headers],0),0),"")</f>
        <v>45594</v>
      </c>
      <c r="C1161" t="str">
        <f>MONTH(ТабПозиции[[#This Row],[date]])&amp;"/"&amp;YEAR(ТабПозиции[[#This Row],[date]])</f>
        <v>10/2024</v>
      </c>
      <c r="D1161" s="1" t="str">
        <f>IFERROR(VLOOKUP(ТабПозиции[[#This Row],[orderNum]],ТабЗаказы[#Data],MATCH(D$7,ТабЗаказы[#Headers],0),0),"")</f>
        <v/>
      </c>
      <c r="E1161" s="1" t="str">
        <f>IFERROR(VLOOKUP(ТабПозиции[[#This Row],[orderNum]],ТабЗаказы[#Data],MATCH(E$7,ТабЗаказы[#Headers],0),0),"")</f>
        <v/>
      </c>
      <c r="F1161" s="16" t="s">
        <v>1373</v>
      </c>
      <c r="G1161" s="40" t="s">
        <v>545</v>
      </c>
      <c r="I1161" s="18">
        <v>45596</v>
      </c>
      <c r="J1161" s="10">
        <v>1</v>
      </c>
      <c r="K1161" s="10">
        <v>1167</v>
      </c>
      <c r="L1161">
        <v>1167</v>
      </c>
      <c r="M1161" s="10">
        <v>1229</v>
      </c>
      <c r="N1161">
        <f t="shared" si="21"/>
        <v>1229</v>
      </c>
      <c r="P11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Row],[orderNum]],ТабПозиции[orderSumm])&gt;1500),ABS(N1161*VLOOKUP(ТабПозиции[[#This Row],[orderNum]],ТабЗаказы[#Data],MATCH("Percent",ТабЗаказы[#Headers],0),0))/100,200/COUNTIF(ТабПозиции[orderNum],ТабПозиции[[#This Row],[orderNum]])),0),"")</f>
        <v>184</v>
      </c>
      <c r="Q1161">
        <f>IF(OR(ТабПозиции[[#This Row],[item]]="По штрихкоду",ТабПозиции[[#This Row],[item]]="Посылка"),ТабПозиции[[#This Row],[deliverySumm]]+ТабПозиции[[#This Row],[deliveryPost]],SUM(N1161:P1161))</f>
        <v>1413</v>
      </c>
      <c r="R1161" s="41">
        <v>1413</v>
      </c>
      <c r="S1161" s="46">
        <f>ТабПозиции[[#This Row],[totalSumm]]-ТабПозиции[[#This Row],[payment]]</f>
        <v>0</v>
      </c>
      <c r="T1161" s="18" t="s">
        <v>970</v>
      </c>
      <c r="U1161" s="40" t="s">
        <v>545</v>
      </c>
      <c r="V1161" s="40" t="s">
        <v>545</v>
      </c>
      <c r="W1161" s="40" t="s">
        <v>545</v>
      </c>
      <c r="X1161" s="3"/>
      <c r="Y1161"/>
    </row>
    <row r="1162" spans="1:25" hidden="1" x14ac:dyDescent="0.25">
      <c r="A1162" s="10">
        <v>315</v>
      </c>
      <c r="B1162" s="1">
        <f>IFERROR(VLOOKUP(ТабПозиции[[#This Row],[orderNum]],ТабЗаказы[#Data],MATCH(B$7,ТабЗаказы[#Headers],0),0),"")</f>
        <v>45594</v>
      </c>
      <c r="C1162" t="str">
        <f>MONTH(ТабПозиции[[#This Row],[date]])&amp;"/"&amp;YEAR(ТабПозиции[[#This Row],[date]])</f>
        <v>10/2024</v>
      </c>
      <c r="D1162" s="1" t="str">
        <f>IFERROR(VLOOKUP(ТабПозиции[[#This Row],[orderNum]],ТабЗаказы[#Data],MATCH(D$7,ТабЗаказы[#Headers],0),0),"")</f>
        <v/>
      </c>
      <c r="E1162" s="1" t="str">
        <f>IFERROR(VLOOKUP(ТабПозиции[[#This Row],[orderNum]],ТабЗаказы[#Data],MATCH(E$7,ТабЗаказы[#Headers],0),0),"")</f>
        <v/>
      </c>
      <c r="F1162" s="16" t="s">
        <v>1664</v>
      </c>
      <c r="G1162" s="40" t="s">
        <v>545</v>
      </c>
      <c r="I1162" s="18">
        <v>45596</v>
      </c>
      <c r="J1162" s="10">
        <v>1</v>
      </c>
      <c r="K1162" s="10">
        <v>1125</v>
      </c>
      <c r="L1162">
        <v>1125</v>
      </c>
      <c r="M1162" s="10">
        <v>1185</v>
      </c>
      <c r="N1162">
        <f t="shared" si="21"/>
        <v>1185</v>
      </c>
      <c r="P11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Row],[orderNum]],ТабПозиции[orderSumm])&gt;1500),ABS(N1162*VLOOKUP(ТабПозиции[[#This Row],[orderNum]],ТабЗаказы[#Data],MATCH("Percent",ТабЗаказы[#Headers],0),0))/100,200/COUNTIF(ТабПозиции[orderNum],ТабПозиции[[#This Row],[orderNum]])),0),"")</f>
        <v>178</v>
      </c>
      <c r="Q1162">
        <f>IF(OR(ТабПозиции[[#This Row],[item]]="По штрихкоду",ТабПозиции[[#This Row],[item]]="Посылка"),ТабПозиции[[#This Row],[deliverySumm]]+ТабПозиции[[#This Row],[deliveryPost]],SUM(N1162:P1162))</f>
        <v>1363</v>
      </c>
      <c r="R1162" s="41">
        <v>1363</v>
      </c>
      <c r="S1162" s="46">
        <f>ТабПозиции[[#This Row],[totalSumm]]-ТабПозиции[[#This Row],[payment]]</f>
        <v>0</v>
      </c>
      <c r="T1162" s="18" t="s">
        <v>970</v>
      </c>
      <c r="U1162" s="40" t="s">
        <v>545</v>
      </c>
      <c r="V1162" s="40" t="s">
        <v>545</v>
      </c>
      <c r="W1162" s="40" t="s">
        <v>545</v>
      </c>
      <c r="X1162" s="3"/>
      <c r="Y1162"/>
    </row>
    <row r="1163" spans="1:25" hidden="1" x14ac:dyDescent="0.25">
      <c r="A1163" s="10">
        <v>315</v>
      </c>
      <c r="B1163" s="1">
        <f>IFERROR(VLOOKUP(ТабПозиции[[#This Row],[orderNum]],ТабЗаказы[#Data],MATCH(B$7,ТабЗаказы[#Headers],0),0),"")</f>
        <v>45594</v>
      </c>
      <c r="C1163" t="str">
        <f>MONTH(ТабПозиции[[#This Row],[date]])&amp;"/"&amp;YEAR(ТабПозиции[[#This Row],[date]])</f>
        <v>10/2024</v>
      </c>
      <c r="D1163" s="1" t="str">
        <f>IFERROR(VLOOKUP(ТабПозиции[[#This Row],[orderNum]],ТабЗаказы[#Data],MATCH(D$7,ТабЗаказы[#Headers],0),0),"")</f>
        <v/>
      </c>
      <c r="E1163" s="1" t="str">
        <f>IFERROR(VLOOKUP(ТабПозиции[[#This Row],[orderNum]],ТабЗаказы[#Data],MATCH(E$7,ТабЗаказы[#Headers],0),0),"")</f>
        <v/>
      </c>
      <c r="F1163" s="16" t="s">
        <v>1438</v>
      </c>
      <c r="G1163" s="40" t="s">
        <v>545</v>
      </c>
      <c r="I1163" s="18">
        <v>45596</v>
      </c>
      <c r="J1163" s="10">
        <v>1</v>
      </c>
      <c r="K1163" s="10">
        <v>1044</v>
      </c>
      <c r="L1163">
        <v>1044</v>
      </c>
      <c r="M1163" s="10">
        <v>1099</v>
      </c>
      <c r="N1163">
        <f t="shared" si="21"/>
        <v>1099</v>
      </c>
      <c r="P11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Row],[orderNum]],ТабПозиции[orderSumm])&gt;1500),ABS(N1163*VLOOKUP(ТабПозиции[[#This Row],[orderNum]],ТабЗаказы[#Data],MATCH("Percent",ТабЗаказы[#Headers],0),0))/100,200/COUNTIF(ТабПозиции[orderNum],ТабПозиции[[#This Row],[orderNum]])),0),"")</f>
        <v>165</v>
      </c>
      <c r="Q1163">
        <f>IF(OR(ТабПозиции[[#This Row],[item]]="По штрихкоду",ТабПозиции[[#This Row],[item]]="Посылка"),ТабПозиции[[#This Row],[deliverySumm]]+ТабПозиции[[#This Row],[deliveryPost]],SUM(N1163:P1163))</f>
        <v>1264</v>
      </c>
      <c r="R1163" s="41">
        <v>1264</v>
      </c>
      <c r="S1163" s="46">
        <f>ТабПозиции[[#This Row],[totalSumm]]-ТабПозиции[[#This Row],[payment]]</f>
        <v>0</v>
      </c>
      <c r="T1163" s="18" t="s">
        <v>970</v>
      </c>
      <c r="U1163" s="40" t="s">
        <v>545</v>
      </c>
      <c r="V1163" s="40" t="s">
        <v>545</v>
      </c>
      <c r="W1163" s="40" t="s">
        <v>545</v>
      </c>
      <c r="X1163" s="3"/>
      <c r="Y1163"/>
    </row>
    <row r="1164" spans="1:25" hidden="1" x14ac:dyDescent="0.25">
      <c r="A1164" s="10">
        <v>315</v>
      </c>
      <c r="B1164" s="1">
        <f>IFERROR(VLOOKUP(ТабПозиции[[#This Row],[orderNum]],ТабЗаказы[#Data],MATCH(B$7,ТабЗаказы[#Headers],0),0),"")</f>
        <v>45594</v>
      </c>
      <c r="C1164" t="str">
        <f>MONTH(ТабПозиции[[#This Row],[date]])&amp;"/"&amp;YEAR(ТабПозиции[[#This Row],[date]])</f>
        <v>10/2024</v>
      </c>
      <c r="D1164" s="1" t="str">
        <f>IFERROR(VLOOKUP(ТабПозиции[[#This Row],[orderNum]],ТабЗаказы[#Data],MATCH(D$7,ТабЗаказы[#Headers],0),0),"")</f>
        <v/>
      </c>
      <c r="E1164" s="1" t="str">
        <f>IFERROR(VLOOKUP(ТабПозиции[[#This Row],[orderNum]],ТабЗаказы[#Data],MATCH(E$7,ТабЗаказы[#Headers],0),0),"")</f>
        <v/>
      </c>
      <c r="F1164" s="16" t="s">
        <v>1665</v>
      </c>
      <c r="G1164" s="40" t="s">
        <v>545</v>
      </c>
      <c r="I1164" s="18">
        <v>45596</v>
      </c>
      <c r="J1164" s="10">
        <v>1</v>
      </c>
      <c r="K1164" s="10">
        <v>766</v>
      </c>
      <c r="L1164">
        <v>766</v>
      </c>
      <c r="M1164" s="10">
        <v>807</v>
      </c>
      <c r="N1164">
        <f t="shared" si="21"/>
        <v>807</v>
      </c>
      <c r="P11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Row],[orderNum]],ТабПозиции[orderSumm])&gt;1500),ABS(N1164*VLOOKUP(ТабПозиции[[#This Row],[orderNum]],ТабЗаказы[#Data],MATCH("Percent",ТабЗаказы[#Headers],0),0))/100,200/COUNTIF(ТабПозиции[orderNum],ТабПозиции[[#This Row],[orderNum]])),0),"")</f>
        <v>121</v>
      </c>
      <c r="Q1164">
        <f>IF(OR(ТабПозиции[[#This Row],[item]]="По штрихкоду",ТабПозиции[[#This Row],[item]]="Посылка"),ТабПозиции[[#This Row],[deliverySumm]]+ТабПозиции[[#This Row],[deliveryPost]],SUM(N1164:P1164))</f>
        <v>928</v>
      </c>
      <c r="R1164" s="41">
        <v>928</v>
      </c>
      <c r="S1164" s="46">
        <f>ТабПозиции[[#This Row],[totalSumm]]-ТабПозиции[[#This Row],[payment]]</f>
        <v>0</v>
      </c>
      <c r="T1164" s="18" t="s">
        <v>970</v>
      </c>
      <c r="U1164" s="40" t="s">
        <v>545</v>
      </c>
      <c r="V1164" s="40" t="s">
        <v>545</v>
      </c>
      <c r="W1164" s="40" t="s">
        <v>545</v>
      </c>
      <c r="X1164" s="3"/>
      <c r="Y1164"/>
    </row>
    <row r="1165" spans="1:25" hidden="1" x14ac:dyDescent="0.25">
      <c r="A1165" s="10">
        <v>316</v>
      </c>
      <c r="B1165" s="1">
        <f>IFERROR(VLOOKUP(ТабПозиции[[#This Row],[orderNum]],ТабЗаказы[#Data],MATCH(B$7,ТабЗаказы[#Headers],0),0),"")</f>
        <v>45595</v>
      </c>
      <c r="C1165" t="str">
        <f>MONTH(ТабПозиции[[#This Row],[date]])&amp;"/"&amp;YEAR(ТабПозиции[[#This Row],[date]])</f>
        <v>10/2024</v>
      </c>
      <c r="D1165" s="1" t="str">
        <f>IFERROR(VLOOKUP(ТабПозиции[[#This Row],[orderNum]],ТабЗаказы[#Data],MATCH(D$7,ТабЗаказы[#Headers],0),0),"")</f>
        <v/>
      </c>
      <c r="E1165" s="1" t="str">
        <f>IFERROR(VLOOKUP(ТабПозиции[[#This Row],[orderNum]],ТабЗаказы[#Data],MATCH(E$7,ТабЗаказы[#Headers],0),0),"")</f>
        <v/>
      </c>
      <c r="F1165" s="16" t="s">
        <v>1666</v>
      </c>
      <c r="G1165" s="40" t="s">
        <v>545</v>
      </c>
      <c r="I1165" s="18">
        <v>45599</v>
      </c>
      <c r="J1165" s="10">
        <v>4</v>
      </c>
      <c r="K1165" s="10">
        <v>532</v>
      </c>
      <c r="L1165">
        <f>ТабПозиции[[#This Row],[discountPrice]]*ТабПозиции[[#This Row],[quantity]]</f>
        <v>2128</v>
      </c>
      <c r="M1165" s="10">
        <v>579</v>
      </c>
      <c r="N1165">
        <f t="shared" si="21"/>
        <v>2316</v>
      </c>
      <c r="P11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Row],[orderNum]],ТабПозиции[orderSumm])&gt;1500),ABS(N1165*VLOOKUP(ТабПозиции[[#This Row],[orderNum]],ТабЗаказы[#Data],MATCH("Percent",ТабЗаказы[#Headers],0),0))/100,200/COUNTIF(ТабПозиции[orderNum],ТабПозиции[[#This Row],[orderNum]])),0),"")</f>
        <v>347</v>
      </c>
      <c r="Q1165">
        <f>IF(OR(ТабПозиции[[#This Row],[item]]="По штрихкоду",ТабПозиции[[#This Row],[item]]="Посылка"),ТабПозиции[[#This Row],[deliverySumm]]+ТабПозиции[[#This Row],[deliveryPost]],SUM(N1165:P1165))</f>
        <v>2663</v>
      </c>
      <c r="R1165" s="41">
        <v>2663</v>
      </c>
      <c r="S1165" s="46">
        <f>ТабПозиции[[#This Row],[totalSumm]]-ТабПозиции[[#This Row],[payment]]</f>
        <v>0</v>
      </c>
      <c r="T1165" s="18" t="s">
        <v>960</v>
      </c>
      <c r="U1165" s="40" t="s">
        <v>545</v>
      </c>
      <c r="V1165" s="40" t="s">
        <v>545</v>
      </c>
      <c r="W1165" s="40" t="s">
        <v>545</v>
      </c>
      <c r="X1165" s="3"/>
      <c r="Y1165"/>
    </row>
    <row r="1166" spans="1:25" hidden="1" x14ac:dyDescent="0.25">
      <c r="A1166" s="10">
        <v>317</v>
      </c>
      <c r="B1166" s="1">
        <f>IFERROR(VLOOKUP(ТабПозиции[[#This Row],[orderNum]],ТабЗаказы[#Data],MATCH(B$7,ТабЗаказы[#Headers],0),0),"")</f>
        <v>45596</v>
      </c>
      <c r="C1166" t="str">
        <f>MONTH(ТабПозиции[[#This Row],[date]])&amp;"/"&amp;YEAR(ТабПозиции[[#This Row],[date]])</f>
        <v>10/2024</v>
      </c>
      <c r="D1166" s="1" t="str">
        <f>IFERROR(VLOOKUP(ТабПозиции[[#This Row],[orderNum]],ТабЗаказы[#Data],MATCH(D$7,ТабЗаказы[#Headers],0),0),"")</f>
        <v/>
      </c>
      <c r="E1166" s="1" t="str">
        <f>IFERROR(VLOOKUP(ТабПозиции[[#This Row],[orderNum]],ТабЗаказы[#Data],MATCH(E$7,ТабЗаказы[#Headers],0),0),"")</f>
        <v/>
      </c>
      <c r="F1166" s="16" t="s">
        <v>1667</v>
      </c>
      <c r="G1166" s="40" t="s">
        <v>545</v>
      </c>
      <c r="I1166" s="18">
        <v>45601</v>
      </c>
      <c r="J1166" s="10">
        <v>1</v>
      </c>
      <c r="K1166" s="10">
        <v>332</v>
      </c>
      <c r="L1166">
        <f>ТабПозиции[[#This Row],[discountPrice]]*ТабПозиции[[#This Row],[quantity]]</f>
        <v>332</v>
      </c>
      <c r="M1166" s="10">
        <v>350</v>
      </c>
      <c r="N1166">
        <f t="shared" si="21"/>
        <v>350</v>
      </c>
      <c r="P11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Row],[orderNum]],ТабПозиции[orderSumm])&gt;1500),ABS(N1166*VLOOKUP(ТабПозиции[[#This Row],[orderNum]],ТабЗаказы[#Data],MATCH("Percent",ТабЗаказы[#Headers],0),0))/100,200/COUNTIF(ТабПозиции[orderNum],ТабПозиции[[#This Row],[orderNum]])),0),"")</f>
        <v>53</v>
      </c>
      <c r="Q1166">
        <f>IF(OR(ТабПозиции[[#This Row],[item]]="По штрихкоду",ТабПозиции[[#This Row],[item]]="Посылка"),ТабПозиции[[#This Row],[deliverySumm]]+ТабПозиции[[#This Row],[deliveryPost]],SUM(N1166:P1166))</f>
        <v>403</v>
      </c>
      <c r="R1166" s="41">
        <v>403</v>
      </c>
      <c r="S1166" s="46">
        <f>ТабПозиции[[#This Row],[totalSumm]]-ТабПозиции[[#This Row],[payment]]</f>
        <v>0</v>
      </c>
      <c r="T1166" s="18" t="s">
        <v>970</v>
      </c>
      <c r="U1166" s="40" t="s">
        <v>545</v>
      </c>
      <c r="V1166" s="40" t="s">
        <v>545</v>
      </c>
      <c r="W1166" s="40" t="s">
        <v>545</v>
      </c>
      <c r="X1166" s="3"/>
      <c r="Y1166"/>
    </row>
    <row r="1167" spans="1:25" hidden="1" x14ac:dyDescent="0.25">
      <c r="A1167" s="10">
        <v>317</v>
      </c>
      <c r="B1167" s="1">
        <f>IFERROR(VLOOKUP(ТабПозиции[[#This Row],[orderNum]],ТабЗаказы[#Data],MATCH(B$7,ТабЗаказы[#Headers],0),0),"")</f>
        <v>45596</v>
      </c>
      <c r="C1167" t="str">
        <f>MONTH(ТабПозиции[[#This Row],[date]])&amp;"/"&amp;YEAR(ТабПозиции[[#This Row],[date]])</f>
        <v>10/2024</v>
      </c>
      <c r="D1167" s="1" t="str">
        <f>IFERROR(VLOOKUP(ТабПозиции[[#This Row],[orderNum]],ТабЗаказы[#Data],MATCH(D$7,ТабЗаказы[#Headers],0),0),"")</f>
        <v/>
      </c>
      <c r="E1167" s="1" t="str">
        <f>IFERROR(VLOOKUP(ТабПозиции[[#This Row],[orderNum]],ТабЗаказы[#Data],MATCH(E$7,ТабЗаказы[#Headers],0),0),"")</f>
        <v/>
      </c>
      <c r="F1167" s="16" t="s">
        <v>1668</v>
      </c>
      <c r="G1167" s="40" t="s">
        <v>545</v>
      </c>
      <c r="I1167" s="18">
        <v>45598</v>
      </c>
      <c r="J1167" s="10">
        <v>1</v>
      </c>
      <c r="K1167" s="10">
        <v>759</v>
      </c>
      <c r="L1167">
        <v>759</v>
      </c>
      <c r="M1167" s="10">
        <v>799</v>
      </c>
      <c r="N1167">
        <f t="shared" si="21"/>
        <v>799</v>
      </c>
      <c r="P11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Row],[orderNum]],ТабПозиции[orderSumm])&gt;1500),ABS(N1167*VLOOKUP(ТабПозиции[[#This Row],[orderNum]],ТабЗаказы[#Data],MATCH("Percent",ТабЗаказы[#Headers],0),0))/100,200/COUNTIF(ТабПозиции[orderNum],ТабПозиции[[#This Row],[orderNum]])),0),"")</f>
        <v>120</v>
      </c>
      <c r="Q1167">
        <f>IF(OR(ТабПозиции[[#This Row],[item]]="По штрихкоду",ТабПозиции[[#This Row],[item]]="Посылка"),ТабПозиции[[#This Row],[deliverySumm]]+ТабПозиции[[#This Row],[deliveryPost]],SUM(N1167:P1167))</f>
        <v>919</v>
      </c>
      <c r="R1167" s="41">
        <v>919</v>
      </c>
      <c r="S1167" s="46">
        <f>ТабПозиции[[#This Row],[totalSumm]]-ТабПозиции[[#This Row],[payment]]</f>
        <v>0</v>
      </c>
      <c r="T1167" s="18" t="s">
        <v>970</v>
      </c>
      <c r="U1167" s="40" t="s">
        <v>545</v>
      </c>
      <c r="V1167" s="40" t="s">
        <v>545</v>
      </c>
      <c r="W1167" s="40" t="s">
        <v>545</v>
      </c>
      <c r="X1167" s="3"/>
      <c r="Y1167"/>
    </row>
    <row r="1168" spans="1:25" hidden="1" x14ac:dyDescent="0.25">
      <c r="A1168" s="10">
        <v>317</v>
      </c>
      <c r="B1168" s="1">
        <f>IFERROR(VLOOKUP(ТабПозиции[[#This Row],[orderNum]],ТабЗаказы[#Data],MATCH(B$7,ТабЗаказы[#Headers],0),0),"")</f>
        <v>45596</v>
      </c>
      <c r="C1168" t="str">
        <f>MONTH(ТабПозиции[[#This Row],[date]])&amp;"/"&amp;YEAR(ТабПозиции[[#This Row],[date]])</f>
        <v>10/2024</v>
      </c>
      <c r="D1168" s="1" t="str">
        <f>IFERROR(VLOOKUP(ТабПозиции[[#This Row],[orderNum]],ТабЗаказы[#Data],MATCH(D$7,ТабЗаказы[#Headers],0),0),"")</f>
        <v/>
      </c>
      <c r="E1168" s="1" t="str">
        <f>IFERROR(VLOOKUP(ТабПозиции[[#This Row],[orderNum]],ТабЗаказы[#Data],MATCH(E$7,ТабЗаказы[#Headers],0),0),"")</f>
        <v/>
      </c>
      <c r="F1168" s="16" t="s">
        <v>1669</v>
      </c>
      <c r="G1168" s="40" t="s">
        <v>545</v>
      </c>
      <c r="I1168" s="18">
        <v>45603</v>
      </c>
      <c r="J1168" s="10">
        <v>1</v>
      </c>
      <c r="K1168" s="10">
        <v>367</v>
      </c>
      <c r="L1168">
        <f>ТабПозиции[[#This Row],[discountPrice]]*ТабПозиции[[#This Row],[quantity]]</f>
        <v>367</v>
      </c>
      <c r="M1168" s="10">
        <v>387</v>
      </c>
      <c r="N1168">
        <f t="shared" si="21"/>
        <v>387</v>
      </c>
      <c r="P11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Row],[orderNum]],ТабПозиции[orderSumm])&gt;1500),ABS(N1168*VLOOKUP(ТабПозиции[[#This Row],[orderNum]],ТабЗаказы[#Data],MATCH("Percent",ТабЗаказы[#Headers],0),0))/100,200/COUNTIF(ТабПозиции[orderNum],ТабПозиции[[#This Row],[orderNum]])),0),"")</f>
        <v>58</v>
      </c>
      <c r="Q1168">
        <f>IF(OR(ТабПозиции[[#This Row],[item]]="По штрихкоду",ТабПозиции[[#This Row],[item]]="Посылка"),ТабПозиции[[#This Row],[deliverySumm]]+ТабПозиции[[#This Row],[deliveryPost]],SUM(N1168:P1168))</f>
        <v>445</v>
      </c>
      <c r="R1168" s="41">
        <v>445</v>
      </c>
      <c r="S1168" s="46">
        <f>ТабПозиции[[#This Row],[totalSumm]]-ТабПозиции[[#This Row],[payment]]</f>
        <v>0</v>
      </c>
      <c r="T1168" s="18" t="s">
        <v>970</v>
      </c>
      <c r="U1168" s="40" t="s">
        <v>545</v>
      </c>
      <c r="V1168" s="40" t="str">
        <f>IF(AND(ТабПозиции[[#This Row],[Остаток]]=0,ТабПозиции[[#This Row],[Заказан]]="Да"),"Да","Нет")</f>
        <v>Да</v>
      </c>
      <c r="W1168" s="40" t="s">
        <v>545</v>
      </c>
      <c r="X1168" s="3"/>
      <c r="Y1168"/>
    </row>
    <row r="1169" spans="1:25" hidden="1" x14ac:dyDescent="0.25">
      <c r="A1169" s="10">
        <v>317</v>
      </c>
      <c r="B1169" s="1">
        <f>IFERROR(VLOOKUP(ТабПозиции[[#This Row],[orderNum]],ТабЗаказы[#Data],MATCH(B$7,ТабЗаказы[#Headers],0),0),"")</f>
        <v>45596</v>
      </c>
      <c r="C1169" t="str">
        <f>MONTH(ТабПозиции[[#This Row],[date]])&amp;"/"&amp;YEAR(ТабПозиции[[#This Row],[date]])</f>
        <v>10/2024</v>
      </c>
      <c r="D1169" s="1" t="str">
        <f>IFERROR(VLOOKUP(ТабПозиции[[#This Row],[orderNum]],ТабЗаказы[#Data],MATCH(D$7,ТабЗаказы[#Headers],0),0),"")</f>
        <v/>
      </c>
      <c r="E1169" s="1" t="str">
        <f>IFERROR(VLOOKUP(ТабПозиции[[#This Row],[orderNum]],ТабЗаказы[#Data],MATCH(E$7,ТабЗаказы[#Headers],0),0),"")</f>
        <v/>
      </c>
      <c r="F1169" s="16" t="s">
        <v>1670</v>
      </c>
      <c r="G1169" s="40" t="s">
        <v>545</v>
      </c>
      <c r="I1169" s="18">
        <v>45598</v>
      </c>
      <c r="J1169" s="10">
        <v>1</v>
      </c>
      <c r="K1169" s="10">
        <v>356</v>
      </c>
      <c r="L1169">
        <f>ТабПозиции[[#This Row],[discountPrice]]*ТабПозиции[[#This Row],[quantity]]</f>
        <v>356</v>
      </c>
      <c r="M1169" s="10">
        <v>375</v>
      </c>
      <c r="N1169">
        <f t="shared" si="21"/>
        <v>375</v>
      </c>
      <c r="P11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Row],[orderNum]],ТабПозиции[orderSumm])&gt;1500),ABS(N1169*VLOOKUP(ТабПозиции[[#This Row],[orderNum]],ТабЗаказы[#Data],MATCH("Percent",ТабЗаказы[#Headers],0),0))/100,200/COUNTIF(ТабПозиции[orderNum],ТабПозиции[[#This Row],[orderNum]])),0),"")</f>
        <v>56</v>
      </c>
      <c r="Q1169">
        <f>IF(OR(ТабПозиции[[#This Row],[item]]="По штрихкоду",ТабПозиции[[#This Row],[item]]="Посылка"),ТабПозиции[[#This Row],[deliverySumm]]+ТабПозиции[[#This Row],[deliveryPost]],SUM(N1169:P1169))</f>
        <v>431</v>
      </c>
      <c r="R1169" s="41">
        <v>431</v>
      </c>
      <c r="S1169" s="46">
        <f>ТабПозиции[[#This Row],[totalSumm]]-ТабПозиции[[#This Row],[payment]]</f>
        <v>0</v>
      </c>
      <c r="T1169" s="18" t="s">
        <v>970</v>
      </c>
      <c r="U1169" s="40" t="s">
        <v>545</v>
      </c>
      <c r="V1169" s="40" t="s">
        <v>545</v>
      </c>
      <c r="W1169" s="40" t="s">
        <v>545</v>
      </c>
      <c r="X1169" s="3"/>
      <c r="Y1169"/>
    </row>
    <row r="1170" spans="1:25" hidden="1" x14ac:dyDescent="0.25">
      <c r="A1170" s="10">
        <v>317</v>
      </c>
      <c r="B1170" s="1">
        <f>IFERROR(VLOOKUP(ТабПозиции[[#This Row],[orderNum]],ТабЗаказы[#Data],MATCH(B$7,ТабЗаказы[#Headers],0),0),"")</f>
        <v>45596</v>
      </c>
      <c r="C1170" t="str">
        <f>MONTH(ТабПозиции[[#This Row],[date]])&amp;"/"&amp;YEAR(ТабПозиции[[#This Row],[date]])</f>
        <v>10/2024</v>
      </c>
      <c r="D1170" s="1" t="str">
        <f>IFERROR(VLOOKUP(ТабПозиции[[#This Row],[orderNum]],ТабЗаказы[#Data],MATCH(D$7,ТабЗаказы[#Headers],0),0),"")</f>
        <v/>
      </c>
      <c r="E1170" s="1" t="str">
        <f>IFERROR(VLOOKUP(ТабПозиции[[#This Row],[orderNum]],ТабЗаказы[#Data],MATCH(E$7,ТабЗаказы[#Headers],0),0),"")</f>
        <v/>
      </c>
      <c r="F1170" s="16" t="s">
        <v>849</v>
      </c>
      <c r="G1170" s="40" t="s">
        <v>545</v>
      </c>
      <c r="I1170" s="18">
        <v>45598</v>
      </c>
      <c r="J1170" s="10">
        <v>2</v>
      </c>
      <c r="K1170" s="10">
        <v>414</v>
      </c>
      <c r="L1170">
        <f>ТабПозиции[[#This Row],[discountPrice]]*ТабПозиции[[#This Row],[quantity]]</f>
        <v>828</v>
      </c>
      <c r="M1170" s="10">
        <v>436</v>
      </c>
      <c r="N1170">
        <f t="shared" si="21"/>
        <v>872</v>
      </c>
      <c r="P11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Row],[orderNum]],ТабПозиции[orderSumm])&gt;1500),ABS(N1170*VLOOKUP(ТабПозиции[[#This Row],[orderNum]],ТабЗаказы[#Data],MATCH("Percent",ТабЗаказы[#Headers],0),0))/100,200/COUNTIF(ТабПозиции[orderNum],ТабПозиции[[#This Row],[orderNum]])),0),"")</f>
        <v>131</v>
      </c>
      <c r="Q1170">
        <f>IF(OR(ТабПозиции[[#This Row],[item]]="По штрихкоду",ТабПозиции[[#This Row],[item]]="Посылка"),ТабПозиции[[#This Row],[deliverySumm]]+ТабПозиции[[#This Row],[deliveryPost]],SUM(N1170:P1170))</f>
        <v>1003</v>
      </c>
      <c r="R1170" s="41">
        <v>1003</v>
      </c>
      <c r="S1170" s="46">
        <f>ТабПозиции[[#This Row],[totalSumm]]-ТабПозиции[[#This Row],[payment]]</f>
        <v>0</v>
      </c>
      <c r="T1170" s="18" t="s">
        <v>970</v>
      </c>
      <c r="U1170" s="40" t="s">
        <v>545</v>
      </c>
      <c r="V1170" s="40" t="s">
        <v>545</v>
      </c>
      <c r="W1170" s="40" t="s">
        <v>545</v>
      </c>
      <c r="X1170" s="3"/>
      <c r="Y1170"/>
    </row>
    <row r="1171" spans="1:25" hidden="1" x14ac:dyDescent="0.25">
      <c r="A1171" s="10">
        <v>316</v>
      </c>
      <c r="B1171" s="1">
        <f>IFERROR(VLOOKUP(ТабПозиции[[#This Row],[orderNum]],ТабЗаказы[#Data],MATCH(B$7,ТабЗаказы[#Headers],0),0),"")</f>
        <v>45595</v>
      </c>
      <c r="C1171" t="str">
        <f>MONTH(ТабПозиции[[#This Row],[date]])&amp;"/"&amp;YEAR(ТабПозиции[[#This Row],[date]])</f>
        <v>10/2024</v>
      </c>
      <c r="D1171" s="1" t="str">
        <f>IFERROR(VLOOKUP(ТабПозиции[[#This Row],[orderNum]],ТабЗаказы[#Data],MATCH(D$7,ТабЗаказы[#Headers],0),0),"")</f>
        <v/>
      </c>
      <c r="E1171" s="1" t="str">
        <f>IFERROR(VLOOKUP(ТабПозиции[[#This Row],[orderNum]],ТабЗаказы[#Data],MATCH(E$7,ТабЗаказы[#Headers],0),0),"")</f>
        <v/>
      </c>
      <c r="F1171" s="16" t="s">
        <v>1671</v>
      </c>
      <c r="G1171" s="40" t="s">
        <v>545</v>
      </c>
      <c r="H1171" s="12" t="s">
        <v>1701</v>
      </c>
      <c r="I1171" s="18">
        <v>45604</v>
      </c>
      <c r="J1171" s="10">
        <v>1</v>
      </c>
      <c r="K1171" s="10">
        <v>500</v>
      </c>
      <c r="L1171">
        <f>ТабПозиции[[#This Row],[discountPrice]]*ТабПозиции[[#This Row],[quantity]]</f>
        <v>500</v>
      </c>
      <c r="M1171" s="10">
        <v>500</v>
      </c>
      <c r="N1171">
        <f t="shared" si="21"/>
        <v>500</v>
      </c>
      <c r="O1171" s="54"/>
      <c r="P11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Row],[orderNum]],ТабПозиции[orderSumm])&gt;1500),ABS(N1171*VLOOKUP(ТабПозиции[[#This Row],[orderNum]],ТабЗаказы[#Data],MATCH("Percent",ТабЗаказы[#Headers],0),0))/100,200/COUNTIF(ТабПозиции[orderNum],ТабПозиции[[#This Row],[orderNum]])),0),"")</f>
        <v>75</v>
      </c>
      <c r="Q1171">
        <f>IF(OR(ТабПозиции[[#This Row],[item]]="По штрихкоду",ТабПозиции[[#This Row],[item]]="Посылка"),ТабПозиции[[#This Row],[deliverySumm]]+ТабПозиции[[#This Row],[deliveryPost]],SUM(N1171:P1171))</f>
        <v>575</v>
      </c>
      <c r="R1171" s="41">
        <v>575</v>
      </c>
      <c r="S1171" s="46">
        <f>ТабПозиции[[#This Row],[totalSumm]]-ТабПозиции[[#This Row],[payment]]</f>
        <v>0</v>
      </c>
      <c r="T1171" s="18" t="s">
        <v>1067</v>
      </c>
      <c r="U1171" s="40" t="s">
        <v>545</v>
      </c>
      <c r="V1171" s="40" t="s">
        <v>545</v>
      </c>
      <c r="W1171" s="40" t="s">
        <v>545</v>
      </c>
      <c r="X1171" s="3"/>
      <c r="Y1171"/>
    </row>
    <row r="1172" spans="1:25" hidden="1" x14ac:dyDescent="0.25">
      <c r="A1172" s="10">
        <v>316</v>
      </c>
      <c r="B1172" s="1">
        <f>IFERROR(VLOOKUP(ТабПозиции[[#This Row],[orderNum]],ТабЗаказы[#Data],MATCH(B$7,ТабЗаказы[#Headers],0),0),"")</f>
        <v>45595</v>
      </c>
      <c r="C1172" t="str">
        <f>MONTH(ТабПозиции[[#This Row],[date]])&amp;"/"&amp;YEAR(ТабПозиции[[#This Row],[date]])</f>
        <v>10/2024</v>
      </c>
      <c r="D1172" s="1" t="str">
        <f>IFERROR(VLOOKUP(ТабПозиции[[#This Row],[orderNum]],ТабЗаказы[#Data],MATCH(D$7,ТабЗаказы[#Headers],0),0),"")</f>
        <v/>
      </c>
      <c r="E1172" s="1" t="str">
        <f>IFERROR(VLOOKUP(ТабПозиции[[#This Row],[orderNum]],ТабЗаказы[#Data],MATCH(E$7,ТабЗаказы[#Headers],0),0),"")</f>
        <v/>
      </c>
      <c r="F1172" s="10" t="s">
        <v>1672</v>
      </c>
      <c r="G1172" s="40" t="s">
        <v>545</v>
      </c>
      <c r="H1172" s="12" t="s">
        <v>1688</v>
      </c>
      <c r="I1172" s="18">
        <v>45599</v>
      </c>
      <c r="J1172" s="10">
        <v>1</v>
      </c>
      <c r="K1172" s="10">
        <v>800</v>
      </c>
      <c r="L1172">
        <f>ТабПозиции[[#This Row],[discountPrice]]*ТабПозиции[[#This Row],[quantity]]</f>
        <v>800</v>
      </c>
      <c r="M1172" s="10">
        <v>800</v>
      </c>
      <c r="N1172">
        <f t="shared" si="21"/>
        <v>800</v>
      </c>
      <c r="O1172" s="10">
        <v>650</v>
      </c>
      <c r="P11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Row],[orderNum]],ТабПозиции[orderSumm])&gt;1500),ABS(N1172*VLOOKUP(ТабПозиции[[#This Row],[orderNum]],ТабЗаказы[#Data],MATCH("Percent",ТабЗаказы[#Headers],0),0))/100,200/COUNTIF(ТабПозиции[orderNum],ТабПозиции[[#This Row],[orderNum]])),0),"")</f>
        <v>120</v>
      </c>
      <c r="Q1172">
        <f>IF(OR(ТабПозиции[[#This Row],[item]]="По штрихкоду",ТабПозиции[[#This Row],[item]]="Посылка"),ТабПозиции[[#This Row],[deliverySumm]]+ТабПозиции[[#This Row],[deliveryPost]],SUM(N1172:P1172))</f>
        <v>1570</v>
      </c>
      <c r="R1172" s="41">
        <v>1570</v>
      </c>
      <c r="S1172" s="46">
        <f>ТабПозиции[[#This Row],[totalSumm]]-ТабПозиции[[#This Row],[payment]]</f>
        <v>0</v>
      </c>
      <c r="T1172" s="18" t="s">
        <v>1021</v>
      </c>
      <c r="U1172" s="40" t="s">
        <v>545</v>
      </c>
      <c r="V1172" s="40" t="s">
        <v>545</v>
      </c>
      <c r="W1172" s="40" t="s">
        <v>545</v>
      </c>
      <c r="X1172" s="3"/>
      <c r="Y1172"/>
    </row>
    <row r="1173" spans="1:25" hidden="1" x14ac:dyDescent="0.25">
      <c r="A1173" s="10">
        <v>318</v>
      </c>
      <c r="B1173" s="1">
        <f>IFERROR(VLOOKUP(ТабПозиции[[#This Row],[orderNum]],ТабЗаказы[#Data],MATCH(B$7,ТабЗаказы[#Headers],0),0),"")</f>
        <v>45596</v>
      </c>
      <c r="C1173" t="str">
        <f>MONTH(ТабПозиции[[#This Row],[date]])&amp;"/"&amp;YEAR(ТабПозиции[[#This Row],[date]])</f>
        <v>10/2024</v>
      </c>
      <c r="D1173" s="1" t="str">
        <f>IFERROR(VLOOKUP(ТабПозиции[[#This Row],[orderNum]],ТабЗаказы[#Data],MATCH(D$7,ТабЗаказы[#Headers],0),0),"")</f>
        <v/>
      </c>
      <c r="E1173" s="1" t="str">
        <f>IFERROR(VLOOKUP(ТабПозиции[[#This Row],[orderNum]],ТабЗаказы[#Data],MATCH(E$7,ТабЗаказы[#Headers],0),0),"")</f>
        <v/>
      </c>
      <c r="F1173" s="16" t="s">
        <v>1674</v>
      </c>
      <c r="G1173" s="40" t="s">
        <v>545</v>
      </c>
      <c r="I1173" s="18">
        <v>45597</v>
      </c>
      <c r="J1173" s="10">
        <v>1</v>
      </c>
      <c r="K1173" s="10">
        <v>91</v>
      </c>
      <c r="L1173">
        <f>ТабПозиции[[#This Row],[discountPrice]]*ТабПозиции[[#This Row],[quantity]]</f>
        <v>91</v>
      </c>
      <c r="M1173" s="10">
        <v>95</v>
      </c>
      <c r="N1173">
        <f t="shared" si="21"/>
        <v>95</v>
      </c>
      <c r="P11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Row],[orderNum]],ТабПозиции[orderSumm])&gt;1500),ABS(N1173*VLOOKUP(ТабПозиции[[#This Row],[orderNum]],ТабЗаказы[#Data],MATCH("Percent",ТабЗаказы[#Headers],0),0))/100,200/COUNTIF(ТабПозиции[orderNum],ТабПозиции[[#This Row],[orderNum]])),0),"")</f>
        <v>14</v>
      </c>
      <c r="Q1173">
        <f>IF(OR(ТабПозиции[[#This Row],[item]]="По штрихкоду",ТабПозиции[[#This Row],[item]]="Посылка"),ТабПозиции[[#This Row],[deliverySumm]]+ТабПозиции[[#This Row],[deliveryPost]],SUM(N1173:P1173))</f>
        <v>109</v>
      </c>
      <c r="R1173" s="41">
        <v>109</v>
      </c>
      <c r="S1173" s="46">
        <f>ТабПозиции[[#This Row],[totalSumm]]-ТабПозиции[[#This Row],[payment]]</f>
        <v>0</v>
      </c>
      <c r="T1173" s="18" t="s">
        <v>960</v>
      </c>
      <c r="U1173" s="40" t="s">
        <v>545</v>
      </c>
      <c r="V1173" s="40" t="s">
        <v>545</v>
      </c>
      <c r="W1173" s="40" t="s">
        <v>545</v>
      </c>
      <c r="X1173" s="3"/>
      <c r="Y1173"/>
    </row>
    <row r="1174" spans="1:25" hidden="1" x14ac:dyDescent="0.25">
      <c r="A1174" s="10">
        <v>318</v>
      </c>
      <c r="B1174" s="1">
        <f>IFERROR(VLOOKUP(ТабПозиции[[#This Row],[orderNum]],ТабЗаказы[#Data],MATCH(B$7,ТабЗаказы[#Headers],0),0),"")</f>
        <v>45596</v>
      </c>
      <c r="C1174" t="str">
        <f>MONTH(ТабПозиции[[#This Row],[date]])&amp;"/"&amp;YEAR(ТабПозиции[[#This Row],[date]])</f>
        <v>10/2024</v>
      </c>
      <c r="D1174" s="1" t="str">
        <f>IFERROR(VLOOKUP(ТабПозиции[[#This Row],[orderNum]],ТабЗаказы[#Data],MATCH(D$7,ТабЗаказы[#Headers],0),0),"")</f>
        <v/>
      </c>
      <c r="E1174" s="1" t="str">
        <f>IFERROR(VLOOKUP(ТабПозиции[[#This Row],[orderNum]],ТабЗаказы[#Data],MATCH(E$7,ТабЗаказы[#Headers],0),0),"")</f>
        <v/>
      </c>
      <c r="F1174" s="16" t="s">
        <v>560</v>
      </c>
      <c r="G1174" s="40" t="s">
        <v>545</v>
      </c>
      <c r="I1174" s="18">
        <v>45599</v>
      </c>
      <c r="J1174" s="10">
        <v>1</v>
      </c>
      <c r="K1174" s="10">
        <v>124</v>
      </c>
      <c r="L1174">
        <f>ТабПозиции[[#This Row],[discountPrice]]*ТабПозиции[[#This Row],[quantity]]</f>
        <v>124</v>
      </c>
      <c r="M1174" s="10">
        <v>129</v>
      </c>
      <c r="N1174">
        <f t="shared" si="21"/>
        <v>129</v>
      </c>
      <c r="P11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Row],[orderNum]],ТабПозиции[orderSumm])&gt;1500),ABS(N1174*VLOOKUP(ТабПозиции[[#This Row],[orderNum]],ТабЗаказы[#Data],MATCH("Percent",ТабЗаказы[#Headers],0),0))/100,200/COUNTIF(ТабПозиции[orderNum],ТабПозиции[[#This Row],[orderNum]])),0),"")</f>
        <v>19</v>
      </c>
      <c r="Q1174">
        <f>IF(OR(ТабПозиции[[#This Row],[item]]="По штрихкоду",ТабПозиции[[#This Row],[item]]="Посылка"),ТабПозиции[[#This Row],[deliverySumm]]+ТабПозиции[[#This Row],[deliveryPost]],SUM(N1174:P1174))</f>
        <v>148</v>
      </c>
      <c r="R1174" s="41">
        <v>148</v>
      </c>
      <c r="S1174" s="46">
        <f>ТабПозиции[[#This Row],[totalSumm]]-ТабПозиции[[#This Row],[payment]]</f>
        <v>0</v>
      </c>
      <c r="T1174" s="18" t="s">
        <v>960</v>
      </c>
      <c r="U1174" s="40" t="s">
        <v>545</v>
      </c>
      <c r="V1174" s="40" t="s">
        <v>545</v>
      </c>
      <c r="W1174" s="40" t="s">
        <v>545</v>
      </c>
      <c r="X1174" s="3"/>
      <c r="Y1174"/>
    </row>
    <row r="1175" spans="1:25" hidden="1" x14ac:dyDescent="0.25">
      <c r="A1175" s="10">
        <v>318</v>
      </c>
      <c r="B1175" s="1">
        <f>IFERROR(VLOOKUP(ТабПозиции[[#This Row],[orderNum]],ТабЗаказы[#Data],MATCH(B$7,ТабЗаказы[#Headers],0),0),"")</f>
        <v>45596</v>
      </c>
      <c r="C1175" t="str">
        <f>MONTH(ТабПозиции[[#This Row],[date]])&amp;"/"&amp;YEAR(ТабПозиции[[#This Row],[date]])</f>
        <v>10/2024</v>
      </c>
      <c r="D1175" s="1" t="str">
        <f>IFERROR(VLOOKUP(ТабПозиции[[#This Row],[orderNum]],ТабЗаказы[#Data],MATCH(D$7,ТабЗаказы[#Headers],0),0),"")</f>
        <v/>
      </c>
      <c r="E1175" s="1" t="str">
        <f>IFERROR(VLOOKUP(ТабПозиции[[#This Row],[orderNum]],ТабЗаказы[#Data],MATCH(E$7,ТабЗаказы[#Headers],0),0),"")</f>
        <v/>
      </c>
      <c r="F1175" s="16" t="s">
        <v>991</v>
      </c>
      <c r="G1175" s="40" t="s">
        <v>545</v>
      </c>
      <c r="I1175" s="18">
        <v>45598</v>
      </c>
      <c r="J1175" s="10">
        <v>1</v>
      </c>
      <c r="K1175" s="10">
        <v>128</v>
      </c>
      <c r="L1175">
        <f>ТабПозиции[[#This Row],[discountPrice]]*ТабПозиции[[#This Row],[quantity]]</f>
        <v>128</v>
      </c>
      <c r="M1175" s="10">
        <v>135</v>
      </c>
      <c r="N1175">
        <f t="shared" ref="N1175:N1238" si="23">M1175*J1175</f>
        <v>135</v>
      </c>
      <c r="P11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Row],[orderNum]],ТабПозиции[orderSumm])&gt;1500),ABS(N1175*VLOOKUP(ТабПозиции[[#This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175">
        <f>IF(OR(ТабПозиции[[#This Row],[item]]="По штрихкоду",ТабПозиции[[#This Row],[item]]="Посылка"),ТабПозиции[[#This Row],[deliverySumm]]+ТабПозиции[[#This Row],[deliveryPost]],SUM(N1175:P1175))</f>
        <v>155</v>
      </c>
      <c r="R1175" s="41">
        <v>155</v>
      </c>
      <c r="S1175" s="46">
        <f>ТабПозиции[[#This Row],[totalSumm]]-ТабПозиции[[#This Row],[payment]]</f>
        <v>0</v>
      </c>
      <c r="T1175" s="18" t="s">
        <v>970</v>
      </c>
      <c r="U1175" s="40" t="s">
        <v>545</v>
      </c>
      <c r="V1175" s="40" t="s">
        <v>545</v>
      </c>
      <c r="W1175" s="40" t="s">
        <v>545</v>
      </c>
      <c r="X1175" s="3"/>
      <c r="Y1175"/>
    </row>
    <row r="1176" spans="1:25" hidden="1" x14ac:dyDescent="0.25">
      <c r="A1176" s="10">
        <v>318</v>
      </c>
      <c r="B1176" s="1">
        <f>IFERROR(VLOOKUP(ТабПозиции[[#This Row],[orderNum]],ТабЗаказы[#Data],MATCH(B$7,ТабЗаказы[#Headers],0),0),"")</f>
        <v>45596</v>
      </c>
      <c r="C1176" t="str">
        <f>MONTH(ТабПозиции[[#This Row],[date]])&amp;"/"&amp;YEAR(ТабПозиции[[#This Row],[date]])</f>
        <v>10/2024</v>
      </c>
      <c r="D1176" s="1" t="str">
        <f>IFERROR(VLOOKUP(ТабПозиции[[#This Row],[orderNum]],ТабЗаказы[#Data],MATCH(D$7,ТабЗаказы[#Headers],0),0),"")</f>
        <v/>
      </c>
      <c r="E1176" s="1" t="str">
        <f>IFERROR(VLOOKUP(ТабПозиции[[#This Row],[orderNum]],ТабЗаказы[#Data],MATCH(E$7,ТабЗаказы[#Headers],0),0),"")</f>
        <v/>
      </c>
      <c r="F1176" s="16" t="s">
        <v>1675</v>
      </c>
      <c r="G1176" s="40" t="s">
        <v>545</v>
      </c>
      <c r="I1176" s="18">
        <v>45600</v>
      </c>
      <c r="J1176" s="10">
        <v>1</v>
      </c>
      <c r="K1176" s="10">
        <v>130</v>
      </c>
      <c r="L1176">
        <f>ТабПозиции[[#This Row],[discountPrice]]*ТабПозиции[[#This Row],[quantity]]</f>
        <v>130</v>
      </c>
      <c r="M1176" s="10">
        <v>137</v>
      </c>
      <c r="N1176">
        <f t="shared" si="23"/>
        <v>137</v>
      </c>
      <c r="P11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Row],[orderNum]],ТабПозиции[orderSumm])&gt;1500),ABS(N1176*VLOOKUP(ТабПозиции[[#This Row],[orderNum]],ТабЗаказы[#Data],MATCH("Percent",ТабЗаказы[#Headers],0),0))/100,200/COUNTIF(ТабПозиции[orderNum],ТабПозиции[[#This Row],[orderNum]])),0),"")</f>
        <v>21</v>
      </c>
      <c r="Q1176">
        <f>IF(OR(ТабПозиции[[#This Row],[item]]="По штрихкоду",ТабПозиции[[#This Row],[item]]="Посылка"),ТабПозиции[[#This Row],[deliverySumm]]+ТабПозиции[[#This Row],[deliveryPost]],SUM(N1176:P1176))</f>
        <v>158</v>
      </c>
      <c r="R1176" s="41">
        <v>158</v>
      </c>
      <c r="S1176" s="46">
        <f>ТабПозиции[[#This Row],[totalSumm]]-ТабПозиции[[#This Row],[payment]]</f>
        <v>0</v>
      </c>
      <c r="T1176" s="18" t="s">
        <v>970</v>
      </c>
      <c r="U1176" s="40" t="s">
        <v>545</v>
      </c>
      <c r="V1176" s="40" t="s">
        <v>545</v>
      </c>
      <c r="W1176" s="40" t="s">
        <v>545</v>
      </c>
      <c r="X1176" s="3"/>
      <c r="Y1176"/>
    </row>
    <row r="1177" spans="1:25" hidden="1" x14ac:dyDescent="0.25">
      <c r="A1177" s="10">
        <v>318</v>
      </c>
      <c r="B1177" s="1">
        <f>IFERROR(VLOOKUP(ТабПозиции[[#This Row],[orderNum]],ТабЗаказы[#Data],MATCH(B$7,ТабЗаказы[#Headers],0),0),"")</f>
        <v>45596</v>
      </c>
      <c r="C1177" t="str">
        <f>MONTH(ТабПозиции[[#This Row],[date]])&amp;"/"&amp;YEAR(ТабПозиции[[#This Row],[date]])</f>
        <v>10/2024</v>
      </c>
      <c r="D1177" s="1" t="str">
        <f>IFERROR(VLOOKUP(ТабПозиции[[#This Row],[orderNum]],ТабЗаказы[#Data],MATCH(D$7,ТабЗаказы[#Headers],0),0),"")</f>
        <v/>
      </c>
      <c r="E1177" s="1" t="str">
        <f>IFERROR(VLOOKUP(ТабПозиции[[#This Row],[orderNum]],ТабЗаказы[#Data],MATCH(E$7,ТабЗаказы[#Headers],0),0),"")</f>
        <v/>
      </c>
      <c r="F1177" s="16" t="s">
        <v>1676</v>
      </c>
      <c r="G1177" s="40" t="s">
        <v>545</v>
      </c>
      <c r="I1177" s="18">
        <v>45598</v>
      </c>
      <c r="J1177" s="10">
        <v>1</v>
      </c>
      <c r="K1177" s="10">
        <v>489</v>
      </c>
      <c r="L1177">
        <f>ТабПозиции[[#This Row],[discountPrice]]*ТабПозиции[[#This Row],[quantity]]</f>
        <v>489</v>
      </c>
      <c r="M1177" s="10">
        <v>515</v>
      </c>
      <c r="N1177">
        <f t="shared" si="23"/>
        <v>515</v>
      </c>
      <c r="P11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Row],[orderNum]],ТабПозиции[orderSumm])&gt;1500),ABS(N1177*VLOOKUP(ТабПозиции[[#This Row],[orderNum]],ТабЗаказы[#Data],MATCH("Percent",ТабЗаказы[#Headers],0),0))/100,200/COUNTIF(ТабПозиции[orderNum],ТабПозиции[[#This Row],[orderNum]])),0),"")</f>
        <v>77</v>
      </c>
      <c r="Q1177">
        <f>IF(OR(ТабПозиции[[#This Row],[item]]="По штрихкоду",ТабПозиции[[#This Row],[item]]="Посылка"),ТабПозиции[[#This Row],[deliverySumm]]+ТабПозиции[[#This Row],[deliveryPost]],SUM(N1177:P1177))</f>
        <v>592</v>
      </c>
      <c r="R1177" s="41">
        <v>592</v>
      </c>
      <c r="S1177" s="46">
        <f>ТабПозиции[[#This Row],[totalSumm]]-ТабПозиции[[#This Row],[payment]]</f>
        <v>0</v>
      </c>
      <c r="T1177" s="18" t="s">
        <v>970</v>
      </c>
      <c r="U1177" s="40" t="s">
        <v>545</v>
      </c>
      <c r="V1177" s="40" t="s">
        <v>545</v>
      </c>
      <c r="W1177" s="40" t="s">
        <v>545</v>
      </c>
      <c r="X1177" s="3"/>
      <c r="Y1177"/>
    </row>
    <row r="1178" spans="1:25" hidden="1" x14ac:dyDescent="0.25">
      <c r="A1178" s="10">
        <v>318</v>
      </c>
      <c r="B1178" s="1">
        <f>IFERROR(VLOOKUP(ТабПозиции[[#This Row],[orderNum]],ТабЗаказы[#Data],MATCH(B$7,ТабЗаказы[#Headers],0),0),"")</f>
        <v>45596</v>
      </c>
      <c r="C1178" t="str">
        <f>MONTH(ТабПозиции[[#This Row],[date]])&amp;"/"&amp;YEAR(ТабПозиции[[#This Row],[date]])</f>
        <v>10/2024</v>
      </c>
      <c r="D1178" s="1" t="str">
        <f>IFERROR(VLOOKUP(ТабПозиции[[#This Row],[orderNum]],ТабЗаказы[#Data],MATCH(D$7,ТабЗаказы[#Headers],0),0),"")</f>
        <v/>
      </c>
      <c r="E1178" s="1" t="str">
        <f>IFERROR(VLOOKUP(ТабПозиции[[#This Row],[orderNum]],ТабЗаказы[#Data],MATCH(E$7,ТабЗаказы[#Headers],0),0),"")</f>
        <v/>
      </c>
      <c r="F1178" s="16" t="s">
        <v>1676</v>
      </c>
      <c r="G1178" s="40" t="s">
        <v>545</v>
      </c>
      <c r="I1178" s="18">
        <v>45598</v>
      </c>
      <c r="J1178" s="10">
        <v>1</v>
      </c>
      <c r="K1178" s="10">
        <v>459</v>
      </c>
      <c r="L1178">
        <f>ТабПозиции[[#This Row],[discountPrice]]*ТабПозиции[[#This Row],[quantity]]</f>
        <v>459</v>
      </c>
      <c r="M1178" s="10">
        <v>484</v>
      </c>
      <c r="N1178">
        <f t="shared" si="23"/>
        <v>484</v>
      </c>
      <c r="P11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Row],[orderNum]],ТабПозиции[orderSumm])&gt;1500),ABS(N1178*VLOOKUP(ТабПозиции[[#This Row],[orderNum]],ТабЗаказы[#Data],MATCH("Percent",ТабЗаказы[#Headers],0),0))/100,200/COUNTIF(ТабПозиции[orderNum],ТабПозиции[[#This Row],[orderNum]])),0),"")</f>
        <v>73</v>
      </c>
      <c r="Q1178">
        <f>IF(OR(ТабПозиции[[#This Row],[item]]="По штрихкоду",ТабПозиции[[#This Row],[item]]="Посылка"),ТабПозиции[[#This Row],[deliverySumm]]+ТабПозиции[[#This Row],[deliveryPost]],SUM(N1178:P1178))</f>
        <v>557</v>
      </c>
      <c r="R1178" s="41">
        <v>557</v>
      </c>
      <c r="S1178" s="46">
        <f>ТабПозиции[[#This Row],[totalSumm]]-ТабПозиции[[#This Row],[payment]]</f>
        <v>0</v>
      </c>
      <c r="T1178" s="18" t="s">
        <v>970</v>
      </c>
      <c r="U1178" s="40" t="s">
        <v>545</v>
      </c>
      <c r="V1178" s="40" t="s">
        <v>545</v>
      </c>
      <c r="W1178" s="40" t="s">
        <v>545</v>
      </c>
      <c r="X1178" s="3"/>
      <c r="Y1178"/>
    </row>
    <row r="1179" spans="1:25" hidden="1" x14ac:dyDescent="0.25">
      <c r="A1179" s="10">
        <v>318</v>
      </c>
      <c r="B1179" s="1">
        <f>IFERROR(VLOOKUP(ТабПозиции[[#This Row],[orderNum]],ТабЗаказы[#Data],MATCH(B$7,ТабЗаказы[#Headers],0),0),"")</f>
        <v>45596</v>
      </c>
      <c r="C1179" t="str">
        <f>MONTH(ТабПозиции[[#This Row],[date]])&amp;"/"&amp;YEAR(ТабПозиции[[#This Row],[date]])</f>
        <v>10/2024</v>
      </c>
      <c r="D1179" s="1" t="str">
        <f>IFERROR(VLOOKUP(ТабПозиции[[#This Row],[orderNum]],ТабЗаказы[#Data],MATCH(D$7,ТабЗаказы[#Headers],0),0),"")</f>
        <v/>
      </c>
      <c r="E1179" s="1" t="str">
        <f>IFERROR(VLOOKUP(ТабПозиции[[#This Row],[orderNum]],ТабЗаказы[#Data],MATCH(E$7,ТабЗаказы[#Headers],0),0),"")</f>
        <v/>
      </c>
      <c r="F1179" s="16" t="s">
        <v>1677</v>
      </c>
      <c r="G1179" s="40" t="s">
        <v>545</v>
      </c>
      <c r="I1179" s="18">
        <v>45599</v>
      </c>
      <c r="J1179" s="10">
        <v>1</v>
      </c>
      <c r="K1179" s="10">
        <v>144</v>
      </c>
      <c r="L1179">
        <f>ТабПозиции[[#This Row],[discountPrice]]*ТабПозиции[[#This Row],[quantity]]</f>
        <v>144</v>
      </c>
      <c r="M1179" s="10">
        <v>152</v>
      </c>
      <c r="N1179">
        <f t="shared" si="23"/>
        <v>152</v>
      </c>
      <c r="P11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Row],[orderNum]],ТабПозиции[orderSumm])&gt;1500),ABS(N1179*VLOOKUP(ТабПозиции[[#This Row],[orderNum]],ТабЗаказы[#Data],MATCH("Percent",ТабЗаказы[#Headers],0),0))/100,200/COUNTIF(ТабПозиции[orderNum],ТабПозиции[[#This Row],[orderNum]])),0),"")</f>
        <v>23</v>
      </c>
      <c r="Q1179">
        <f>IF(OR(ТабПозиции[[#This Row],[item]]="По штрихкоду",ТабПозиции[[#This Row],[item]]="Посылка"),ТабПозиции[[#This Row],[deliverySumm]]+ТабПозиции[[#This Row],[deliveryPost]],SUM(N1179:P1179))</f>
        <v>175</v>
      </c>
      <c r="R1179" s="41">
        <v>175</v>
      </c>
      <c r="S1179" s="46">
        <f>ТабПозиции[[#This Row],[totalSumm]]-ТабПозиции[[#This Row],[payment]]</f>
        <v>0</v>
      </c>
      <c r="T1179" s="18" t="s">
        <v>970</v>
      </c>
      <c r="U1179" s="40" t="s">
        <v>545</v>
      </c>
      <c r="V1179" s="40" t="s">
        <v>545</v>
      </c>
      <c r="W1179" s="40" t="s">
        <v>545</v>
      </c>
      <c r="X1179" s="3"/>
      <c r="Y1179"/>
    </row>
    <row r="1180" spans="1:25" hidden="1" x14ac:dyDescent="0.25">
      <c r="A1180" s="10">
        <v>319</v>
      </c>
      <c r="B1180" s="1">
        <f>IFERROR(VLOOKUP(ТабПозиции[[#This Row],[orderNum]],ТабЗаказы[#Data],MATCH(B$7,ТабЗаказы[#Headers],0),0),"")</f>
        <v>45596</v>
      </c>
      <c r="C1180" t="str">
        <f>MONTH(ТабПозиции[[#This Row],[date]])&amp;"/"&amp;YEAR(ТабПозиции[[#This Row],[date]])</f>
        <v>10/2024</v>
      </c>
      <c r="D1180" s="1" t="str">
        <f>IFERROR(VLOOKUP(ТабПозиции[[#This Row],[orderNum]],ТабЗаказы[#Data],MATCH(D$7,ТабЗаказы[#Headers],0),0),"")</f>
        <v/>
      </c>
      <c r="E1180" s="1" t="str">
        <f>IFERROR(VLOOKUP(ТабПозиции[[#This Row],[orderNum]],ТабЗаказы[#Data],MATCH(E$7,ТабЗаказы[#Headers],0),0),"")</f>
        <v/>
      </c>
      <c r="F1180" s="16" t="s">
        <v>1679</v>
      </c>
      <c r="G1180" s="40" t="s">
        <v>545</v>
      </c>
      <c r="I1180" s="18">
        <v>45598</v>
      </c>
      <c r="J1180" s="10">
        <v>3</v>
      </c>
      <c r="K1180" s="10">
        <v>182</v>
      </c>
      <c r="L1180">
        <f>ТабПозиции[[#This Row],[discountPrice]]*ТабПозиции[[#This Row],[quantity]]</f>
        <v>546</v>
      </c>
      <c r="M1180" s="10">
        <v>192</v>
      </c>
      <c r="N1180">
        <f t="shared" si="23"/>
        <v>576</v>
      </c>
      <c r="P11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Row],[orderNum]],ТабПозиции[orderSumm])&gt;1500),ABS(N1180*VLOOKUP(ТабПозиции[[#This Row],[orderNum]],ТабЗаказы[#Data],MATCH("Percent",ТабЗаказы[#Headers],0),0))/100,200/COUNTIF(ТабПозиции[orderNum],ТабПозиции[[#This Row],[orderNum]])),0),"")</f>
        <v>86</v>
      </c>
      <c r="Q1180">
        <f>IF(OR(ТабПозиции[[#This Row],[item]]="По штрихкоду",ТабПозиции[[#This Row],[item]]="Посылка"),ТабПозиции[[#This Row],[deliverySumm]]+ТабПозиции[[#This Row],[deliveryPost]],SUM(N1180:P1180))</f>
        <v>662</v>
      </c>
      <c r="R1180" s="41">
        <v>662</v>
      </c>
      <c r="S1180" s="46">
        <f>ТабПозиции[[#This Row],[totalSumm]]-ТабПозиции[[#This Row],[payment]]</f>
        <v>0</v>
      </c>
      <c r="T1180" s="18" t="s">
        <v>970</v>
      </c>
      <c r="U1180" s="40" t="s">
        <v>545</v>
      </c>
      <c r="V1180" s="40" t="s">
        <v>545</v>
      </c>
      <c r="W1180" s="40" t="s">
        <v>545</v>
      </c>
      <c r="X1180" s="3"/>
      <c r="Y1180"/>
    </row>
    <row r="1181" spans="1:25" hidden="1" x14ac:dyDescent="0.25">
      <c r="A1181" s="10">
        <v>319</v>
      </c>
      <c r="B1181" s="1">
        <f>IFERROR(VLOOKUP(ТабПозиции[[#This Row],[orderNum]],ТабЗаказы[#Data],MATCH(B$7,ТабЗаказы[#Headers],0),0),"")</f>
        <v>45596</v>
      </c>
      <c r="C1181" t="str">
        <f>MONTH(ТабПозиции[[#This Row],[date]])&amp;"/"&amp;YEAR(ТабПозиции[[#This Row],[date]])</f>
        <v>10/2024</v>
      </c>
      <c r="D1181" s="1" t="str">
        <f>IFERROR(VLOOKUP(ТабПозиции[[#This Row],[orderNum]],ТабЗаказы[#Data],MATCH(D$7,ТабЗаказы[#Headers],0),0),"")</f>
        <v/>
      </c>
      <c r="E1181" s="1" t="str">
        <f>IFERROR(VLOOKUP(ТабПозиции[[#This Row],[orderNum]],ТабЗаказы[#Data],MATCH(E$7,ТабЗаказы[#Headers],0),0),"")</f>
        <v/>
      </c>
      <c r="F1181" s="16" t="s">
        <v>1680</v>
      </c>
      <c r="G1181" s="40" t="s">
        <v>545</v>
      </c>
      <c r="I1181" s="18">
        <v>45598</v>
      </c>
      <c r="J1181" s="10">
        <v>1</v>
      </c>
      <c r="K1181" s="10">
        <v>497</v>
      </c>
      <c r="L1181">
        <f>ТабПозиции[[#This Row],[discountPrice]]*ТабПозиции[[#This Row],[quantity]]</f>
        <v>497</v>
      </c>
      <c r="M1181" s="10">
        <v>524</v>
      </c>
      <c r="N1181">
        <f t="shared" si="23"/>
        <v>524</v>
      </c>
      <c r="P11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Row],[orderNum]],ТабПозиции[orderSumm])&gt;1500),ABS(N1181*VLOOKUP(ТабПозиции[[#This Row],[orderNum]],ТабЗаказы[#Data],MATCH("Percent",ТабЗаказы[#Headers],0),0))/100,200/COUNTIF(ТабПозиции[orderNum],ТабПозиции[[#This Row],[orderNum]])),0),"")</f>
        <v>79</v>
      </c>
      <c r="Q1181">
        <f>IF(OR(ТабПозиции[[#This Row],[item]]="По штрихкоду",ТабПозиции[[#This Row],[item]]="Посылка"),ТабПозиции[[#This Row],[deliverySumm]]+ТабПозиции[[#This Row],[deliveryPost]],SUM(N1181:P1181))</f>
        <v>603</v>
      </c>
      <c r="R1181" s="41">
        <v>603</v>
      </c>
      <c r="S1181" s="46">
        <f>ТабПозиции[[#This Row],[totalSumm]]-ТабПозиции[[#This Row],[payment]]</f>
        <v>0</v>
      </c>
      <c r="T1181" s="18" t="s">
        <v>970</v>
      </c>
      <c r="U1181" s="40" t="s">
        <v>545</v>
      </c>
      <c r="V1181" s="40" t="s">
        <v>545</v>
      </c>
      <c r="W1181" s="40" t="s">
        <v>545</v>
      </c>
      <c r="X1181" s="3"/>
      <c r="Y1181"/>
    </row>
    <row r="1182" spans="1:25" hidden="1" x14ac:dyDescent="0.25">
      <c r="A1182" s="10">
        <v>319</v>
      </c>
      <c r="B1182" s="1">
        <f>IFERROR(VLOOKUP(ТабПозиции[[#This Row],[orderNum]],ТабЗаказы[#Data],MATCH(B$7,ТабЗаказы[#Headers],0),0),"")</f>
        <v>45596</v>
      </c>
      <c r="C1182" t="str">
        <f>MONTH(ТабПозиции[[#This Row],[date]])&amp;"/"&amp;YEAR(ТабПозиции[[#This Row],[date]])</f>
        <v>10/2024</v>
      </c>
      <c r="D1182" s="1" t="str">
        <f>IFERROR(VLOOKUP(ТабПозиции[[#This Row],[orderNum]],ТабЗаказы[#Data],MATCH(D$7,ТабЗаказы[#Headers],0),0),"")</f>
        <v/>
      </c>
      <c r="E1182" s="1" t="str">
        <f>IFERROR(VLOOKUP(ТабПозиции[[#This Row],[orderNum]],ТабЗаказы[#Data],MATCH(E$7,ТабЗаказы[#Headers],0),0),"")</f>
        <v/>
      </c>
      <c r="F1182" s="16" t="s">
        <v>1075</v>
      </c>
      <c r="G1182" s="40" t="s">
        <v>545</v>
      </c>
      <c r="I1182" s="18">
        <v>45598</v>
      </c>
      <c r="J1182" s="10">
        <v>1</v>
      </c>
      <c r="K1182" s="10">
        <v>411</v>
      </c>
      <c r="L1182">
        <f>ТабПозиции[[#This Row],[discountPrice]]*ТабПозиции[[#This Row],[quantity]]</f>
        <v>411</v>
      </c>
      <c r="M1182" s="10">
        <v>433</v>
      </c>
      <c r="N1182">
        <f t="shared" si="23"/>
        <v>433</v>
      </c>
      <c r="P11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Row],[orderNum]],ТабПозиции[orderSumm])&gt;1500),ABS(N1182*VLOOKUP(ТабПозиции[[#This Row],[orderNum]],ТабЗаказы[#Data],MATCH("Percent",ТабЗаказы[#Headers],0),0))/100,200/COUNTIF(ТабПозиции[orderNum],ТабПозиции[[#This Row],[orderNum]])),0),"")</f>
        <v>65</v>
      </c>
      <c r="Q1182">
        <f>IF(OR(ТабПозиции[[#This Row],[item]]="По штрихкоду",ТабПозиции[[#This Row],[item]]="Посылка"),ТабПозиции[[#This Row],[deliverySumm]]+ТабПозиции[[#This Row],[deliveryPost]],SUM(N1182:P1182))</f>
        <v>498</v>
      </c>
      <c r="R1182" s="41">
        <v>498</v>
      </c>
      <c r="S1182" s="46">
        <f>ТабПозиции[[#This Row],[totalSumm]]-ТабПозиции[[#This Row],[payment]]</f>
        <v>0</v>
      </c>
      <c r="T1182" s="18" t="s">
        <v>970</v>
      </c>
      <c r="U1182" s="40" t="s">
        <v>545</v>
      </c>
      <c r="V1182" s="40" t="s">
        <v>545</v>
      </c>
      <c r="W1182" s="40" t="s">
        <v>545</v>
      </c>
      <c r="X1182" s="3"/>
      <c r="Y1182"/>
    </row>
    <row r="1183" spans="1:25" hidden="1" x14ac:dyDescent="0.25">
      <c r="A1183" s="10">
        <v>319</v>
      </c>
      <c r="B1183" s="1">
        <f>IFERROR(VLOOKUP(ТабПозиции[[#This Row],[orderNum]],ТабЗаказы[#Data],MATCH(B$7,ТабЗаказы[#Headers],0),0),"")</f>
        <v>45596</v>
      </c>
      <c r="C1183" t="str">
        <f>MONTH(ТабПозиции[[#This Row],[date]])&amp;"/"&amp;YEAR(ТабПозиции[[#This Row],[date]])</f>
        <v>10/2024</v>
      </c>
      <c r="D1183" s="1" t="str">
        <f>IFERROR(VLOOKUP(ТабПозиции[[#This Row],[orderNum]],ТабЗаказы[#Data],MATCH(D$7,ТабЗаказы[#Headers],0),0),"")</f>
        <v/>
      </c>
      <c r="E1183" s="1" t="str">
        <f>IFERROR(VLOOKUP(ТабПозиции[[#This Row],[orderNum]],ТабЗаказы[#Data],MATCH(E$7,ТабЗаказы[#Headers],0),0),"")</f>
        <v/>
      </c>
      <c r="F1183" s="16" t="s">
        <v>1681</v>
      </c>
      <c r="G1183" s="40" t="s">
        <v>545</v>
      </c>
      <c r="I1183" s="18">
        <v>45598</v>
      </c>
      <c r="J1183" s="10">
        <v>1</v>
      </c>
      <c r="K1183" s="10">
        <v>294</v>
      </c>
      <c r="L1183">
        <f>ТабПозиции[[#This Row],[discountPrice]]*ТабПозиции[[#This Row],[quantity]]</f>
        <v>294</v>
      </c>
      <c r="M1183" s="10">
        <v>310</v>
      </c>
      <c r="N1183">
        <f t="shared" si="23"/>
        <v>310</v>
      </c>
      <c r="P11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Row],[orderNum]],ТабПозиции[orderSumm])&gt;1500),ABS(N1183*VLOOKUP(ТабПозиции[[#This Row],[orderNum]],ТабЗаказы[#Data],MATCH("Percent",ТабЗаказы[#Headers],0),0))/100,200/COUNTIF(ТабПозиции[orderNum],ТабПозиции[[#This Row],[orderNum]])),0),"")</f>
        <v>47</v>
      </c>
      <c r="Q1183">
        <f>IF(OR(ТабПозиции[[#This Row],[item]]="По штрихкоду",ТабПозиции[[#This Row],[item]]="Посылка"),ТабПозиции[[#This Row],[deliverySumm]]+ТабПозиции[[#This Row],[deliveryPost]],SUM(N1183:P1183))</f>
        <v>357</v>
      </c>
      <c r="R1183" s="41">
        <v>357</v>
      </c>
      <c r="S1183" s="46">
        <f>ТабПозиции[[#This Row],[totalSumm]]-ТабПозиции[[#This Row],[payment]]</f>
        <v>0</v>
      </c>
      <c r="T1183" s="18" t="s">
        <v>970</v>
      </c>
      <c r="U1183" s="40" t="s">
        <v>545</v>
      </c>
      <c r="V1183" s="40" t="s">
        <v>545</v>
      </c>
      <c r="W1183" s="40" t="s">
        <v>545</v>
      </c>
      <c r="X1183" s="3"/>
      <c r="Y1183"/>
    </row>
    <row r="1184" spans="1:25" hidden="1" x14ac:dyDescent="0.25">
      <c r="A1184" s="10">
        <v>317</v>
      </c>
      <c r="B1184" s="1">
        <f>IFERROR(VLOOKUP(ТабПозиции[[#This Row],[orderNum]],ТабЗаказы[#Data],MATCH(B$7,ТабЗаказы[#Headers],0),0),"")</f>
        <v>45596</v>
      </c>
      <c r="C1184" t="str">
        <f>MONTH(ТабПозиции[[#This Row],[date]])&amp;"/"&amp;YEAR(ТабПозиции[[#This Row],[date]])</f>
        <v>10/2024</v>
      </c>
      <c r="D1184" s="1" t="str">
        <f>IFERROR(VLOOKUP(ТабПозиции[[#This Row],[orderNum]],ТабЗаказы[#Data],MATCH(D$7,ТабЗаказы[#Headers],0),0),"")</f>
        <v/>
      </c>
      <c r="E1184" s="1" t="str">
        <f>IFERROR(VLOOKUP(ТабПозиции[[#This Row],[orderNum]],ТабЗаказы[#Data],MATCH(E$7,ТабЗаказы[#Headers],0),0),"")</f>
        <v/>
      </c>
      <c r="F1184" s="16" t="s">
        <v>1685</v>
      </c>
      <c r="G1184" s="40" t="s">
        <v>545</v>
      </c>
      <c r="I1184" s="18">
        <v>45597</v>
      </c>
      <c r="J1184" s="10">
        <v>1</v>
      </c>
      <c r="K1184" s="10">
        <v>802</v>
      </c>
      <c r="L1184">
        <v>802</v>
      </c>
      <c r="M1184" s="10">
        <v>872</v>
      </c>
      <c r="N1184">
        <f t="shared" si="23"/>
        <v>872</v>
      </c>
      <c r="P11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Row],[orderNum]],ТабПозиции[orderSumm])&gt;1500),ABS(N1184*VLOOKUP(ТабПозиции[[#This Row],[orderNum]],ТабЗаказы[#Data],MATCH("Percent",ТабЗаказы[#Headers],0),0))/100,200/COUNTIF(ТабПозиции[orderNum],ТабПозиции[[#This Row],[orderNum]])),0),"")</f>
        <v>131</v>
      </c>
      <c r="Q1184">
        <f>IF(OR(ТабПозиции[[#This Row],[item]]="По штрихкоду",ТабПозиции[[#This Row],[item]]="Посылка"),ТабПозиции[[#This Row],[deliverySumm]]+ТабПозиции[[#This Row],[deliveryPost]],SUM(N1184:P1184))</f>
        <v>1003</v>
      </c>
      <c r="R1184" s="41">
        <v>1003</v>
      </c>
      <c r="S1184" s="46">
        <f>ТабПозиции[[#This Row],[totalSumm]]-ТабПозиции[[#This Row],[payment]]</f>
        <v>0</v>
      </c>
      <c r="T1184" s="18" t="s">
        <v>970</v>
      </c>
      <c r="U1184" s="40" t="s">
        <v>545</v>
      </c>
      <c r="V1184" s="40" t="s">
        <v>545</v>
      </c>
      <c r="W1184" s="40" t="s">
        <v>545</v>
      </c>
      <c r="X1184" s="3"/>
      <c r="Y1184"/>
    </row>
    <row r="1185" spans="1:25" hidden="1" x14ac:dyDescent="0.25">
      <c r="A1185" s="10">
        <v>320</v>
      </c>
      <c r="B1185" s="1">
        <f>IFERROR(VLOOKUP(ТабПозиции[[#This Row],[orderNum]],ТабЗаказы[#Data],MATCH(B$7,ТабЗаказы[#Headers],0),0),"")</f>
        <v>45597</v>
      </c>
      <c r="C1185" t="str">
        <f>MONTH(ТабПозиции[[#This Row],[date]])&amp;"/"&amp;YEAR(ТабПозиции[[#This Row],[date]])</f>
        <v>11/2024</v>
      </c>
      <c r="D1185" s="1" t="str">
        <f>IFERROR(VLOOKUP(ТабПозиции[[#This Row],[orderNum]],ТабЗаказы[#Data],MATCH(D$7,ТабЗаказы[#Headers],0),0),"")</f>
        <v/>
      </c>
      <c r="E1185" s="1" t="str">
        <f>IFERROR(VLOOKUP(ТабПозиции[[#This Row],[orderNum]],ТабЗаказы[#Data],MATCH(E$7,ТабЗаказы[#Headers],0),0),"")</f>
        <v/>
      </c>
      <c r="F1185" s="10" t="s">
        <v>820</v>
      </c>
      <c r="G1185" s="40" t="s">
        <v>545</v>
      </c>
      <c r="H1185" s="12" t="s">
        <v>1686</v>
      </c>
      <c r="I1185" s="18">
        <v>45597</v>
      </c>
      <c r="J1185" s="10">
        <v>1</v>
      </c>
      <c r="K1185" s="10">
        <v>1400</v>
      </c>
      <c r="L1185">
        <v>1400</v>
      </c>
      <c r="M1185" s="10">
        <v>14000</v>
      </c>
      <c r="N1185">
        <f t="shared" si="23"/>
        <v>14000</v>
      </c>
      <c r="P11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Row],[orderNum]],ТабПозиции[orderSumm])&gt;1500),ABS(N1185*VLOOKUP(ТабПозиции[[#This Row],[orderNum]],ТабЗаказы[#Data],MATCH("Percent",ТабЗаказы[#Headers],0),0))/100,200/COUNTIF(ТабПозиции[orderNum],ТабПозиции[[#This Row],[orderNum]])),0),"")</f>
        <v>1400</v>
      </c>
      <c r="Q1185">
        <f>IF(OR(ТабПозиции[[#This Row],[item]]="По штрихкоду",ТабПозиции[[#This Row],[item]]="Посылка"),ТабПозиции[[#This Row],[deliverySumm]]+ТабПозиции[[#This Row],[deliveryPost]],SUM(N1185:P1185))</f>
        <v>1400</v>
      </c>
      <c r="R1185" s="41">
        <v>1400</v>
      </c>
      <c r="S1185" s="46">
        <f>ТабПозиции[[#This Row],[totalSumm]]-ТабПозиции[[#This Row],[payment]]</f>
        <v>0</v>
      </c>
      <c r="T1185" s="18" t="s">
        <v>1021</v>
      </c>
      <c r="U1185" s="40" t="s">
        <v>545</v>
      </c>
      <c r="V1185" s="40" t="s">
        <v>545</v>
      </c>
      <c r="W1185" s="40" t="s">
        <v>545</v>
      </c>
      <c r="X1185" s="3"/>
      <c r="Y1185"/>
    </row>
    <row r="1186" spans="1:25" hidden="1" x14ac:dyDescent="0.25">
      <c r="A1186" s="10">
        <v>320</v>
      </c>
      <c r="B1186" s="1">
        <f>IFERROR(VLOOKUP(ТабПозиции[[#This Row],[orderNum]],ТабЗаказы[#Data],MATCH(B$7,ТабЗаказы[#Headers],0),0),"")</f>
        <v>45597</v>
      </c>
      <c r="C1186" t="str">
        <f>MONTH(ТабПозиции[[#This Row],[date]])&amp;"/"&amp;YEAR(ТабПозиции[[#This Row],[date]])</f>
        <v>11/2024</v>
      </c>
      <c r="D1186" s="1" t="str">
        <f>IFERROR(VLOOKUP(ТабПозиции[[#This Row],[orderNum]],ТабЗаказы[#Data],MATCH(D$7,ТабЗаказы[#Headers],0),0),"")</f>
        <v/>
      </c>
      <c r="E1186" s="1" t="str">
        <f>IFERROR(VLOOKUP(ТабПозиции[[#This Row],[orderNum]],ТабЗаказы[#Data],MATCH(E$7,ТабЗаказы[#Headers],0),0),"")</f>
        <v/>
      </c>
      <c r="F1186" s="10" t="s">
        <v>820</v>
      </c>
      <c r="G1186" s="40" t="s">
        <v>545</v>
      </c>
      <c r="H1186" s="12" t="s">
        <v>1687</v>
      </c>
      <c r="I1186" s="18">
        <v>45597</v>
      </c>
      <c r="J1186" s="10">
        <v>1</v>
      </c>
      <c r="K1186" s="10">
        <v>2315</v>
      </c>
      <c r="L1186">
        <v>2315</v>
      </c>
      <c r="M1186" s="10">
        <v>2315</v>
      </c>
      <c r="N1186">
        <f t="shared" si="23"/>
        <v>2315</v>
      </c>
      <c r="P11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Row],[orderNum]],ТабПозиции[orderSumm])&gt;1500),ABS(N1186*VLOOKUP(ТабПозиции[[#This Row],[orderNum]],ТабЗаказы[#Data],MATCH("Percent",ТабЗаказы[#Headers],0),0))/100,200/COUNTIF(ТабПозиции[orderNum],ТабПозиции[[#This Row],[orderNum]])),0),"")</f>
        <v>232</v>
      </c>
      <c r="Q1186">
        <f>IF(OR(ТабПозиции[[#This Row],[item]]="По штрихкоду",ТабПозиции[[#This Row],[item]]="Посылка"),ТабПозиции[[#This Row],[deliverySumm]]+ТабПозиции[[#This Row],[deliveryPost]],SUM(N1186:P1186))</f>
        <v>232</v>
      </c>
      <c r="R1186" s="41">
        <v>232</v>
      </c>
      <c r="S1186" s="46">
        <f>ТабПозиции[[#This Row],[totalSumm]]-ТабПозиции[[#This Row],[payment]]</f>
        <v>0</v>
      </c>
      <c r="T1186" s="18" t="s">
        <v>1021</v>
      </c>
      <c r="U1186" s="40" t="s">
        <v>545</v>
      </c>
      <c r="V1186" s="40" t="s">
        <v>545</v>
      </c>
      <c r="W1186" s="40" t="s">
        <v>545</v>
      </c>
      <c r="X1186" s="3"/>
      <c r="Y1186"/>
    </row>
    <row r="1187" spans="1:25" hidden="1" x14ac:dyDescent="0.25">
      <c r="A1187" s="10">
        <v>316</v>
      </c>
      <c r="B1187" s="1">
        <f>IFERROR(VLOOKUP(ТабПозиции[[#This Row],[orderNum]],ТабЗаказы[#Data],MATCH(B$7,ТабЗаказы[#Headers],0),0),"")</f>
        <v>45595</v>
      </c>
      <c r="C1187" t="str">
        <f>MONTH(ТабПозиции[[#This Row],[date]])&amp;"/"&amp;YEAR(ТабПозиции[[#This Row],[date]])</f>
        <v>10/2024</v>
      </c>
      <c r="D1187" s="1" t="str">
        <f>IFERROR(VLOOKUP(ТабПозиции[[#This Row],[orderNum]],ТабЗаказы[#Data],MATCH(D$7,ТабЗаказы[#Headers],0),0),"")</f>
        <v/>
      </c>
      <c r="E1187" s="1" t="str">
        <f>IFERROR(VLOOKUP(ТабПозиции[[#This Row],[orderNum]],ТабЗаказы[#Data],MATCH(E$7,ТабЗаказы[#Headers],0),0),"")</f>
        <v/>
      </c>
      <c r="F1187" s="16" t="s">
        <v>1699</v>
      </c>
      <c r="G1187" s="40" t="s">
        <v>545</v>
      </c>
      <c r="I1187" s="18">
        <v>45602</v>
      </c>
      <c r="J1187" s="10">
        <v>1</v>
      </c>
      <c r="K1187" s="10">
        <v>420</v>
      </c>
      <c r="L1187">
        <f>ТабПозиции[[#This Row],[discountPrice]]*ТабПозиции[[#This Row],[quantity]]</f>
        <v>420</v>
      </c>
      <c r="M1187" s="10">
        <v>433</v>
      </c>
      <c r="N1187">
        <f t="shared" si="23"/>
        <v>433</v>
      </c>
      <c r="P11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Row],[orderNum]],ТабПозиции[orderSumm])&gt;1500),ABS(N1187*VLOOKUP(ТабПозиции[[#This Row],[orderNum]],ТабЗаказы[#Data],MATCH("Percent",ТабЗаказы[#Headers],0),0))/100,200/COUNTIF(ТабПозиции[orderNum],ТабПозиции[[#This Row],[orderNum]])),0),"")</f>
        <v>65</v>
      </c>
      <c r="Q1187">
        <f>IF(OR(ТабПозиции[[#This Row],[item]]="По штрихкоду",ТабПозиции[[#This Row],[item]]="Посылка"),ТабПозиции[[#This Row],[deliverySumm]]+ТабПозиции[[#This Row],[deliveryPost]],SUM(N1187:P1187))</f>
        <v>498</v>
      </c>
      <c r="R1187" s="41">
        <v>498</v>
      </c>
      <c r="S1187" s="46">
        <f>ТабПозиции[[#This Row],[totalSumm]]-ТабПозиции[[#This Row],[payment]]</f>
        <v>0</v>
      </c>
      <c r="T1187" s="18" t="s">
        <v>960</v>
      </c>
      <c r="U1187" s="40" t="s">
        <v>545</v>
      </c>
      <c r="V1187" s="40" t="s">
        <v>545</v>
      </c>
      <c r="W1187" s="40" t="s">
        <v>545</v>
      </c>
      <c r="X1187" s="3"/>
      <c r="Y1187"/>
    </row>
    <row r="1188" spans="1:25" hidden="1" x14ac:dyDescent="0.25">
      <c r="A1188" s="10">
        <v>321</v>
      </c>
      <c r="B1188" s="1">
        <f>IFERROR(VLOOKUP(ТабПозиции[[#This Row],[orderNum]],ТабЗаказы[#Data],MATCH(B$7,ТабЗаказы[#Headers],0),0),"")</f>
        <v>45597</v>
      </c>
      <c r="C1188" t="str">
        <f>MONTH(ТабПозиции[[#This Row],[date]])&amp;"/"&amp;YEAR(ТабПозиции[[#This Row],[date]])</f>
        <v>11/2024</v>
      </c>
      <c r="D1188" s="1" t="str">
        <f>IFERROR(VLOOKUP(ТабПозиции[[#This Row],[orderNum]],ТабЗаказы[#Data],MATCH(D$7,ТабЗаказы[#Headers],0),0),"")</f>
        <v/>
      </c>
      <c r="E1188" s="1" t="str">
        <f>IFERROR(VLOOKUP(ТабПозиции[[#This Row],[orderNum]],ТабЗаказы[#Data],MATCH(E$7,ТабЗаказы[#Headers],0),0),"")</f>
        <v/>
      </c>
      <c r="F1188" s="10" t="s">
        <v>32</v>
      </c>
      <c r="G1188" s="40" t="s">
        <v>545</v>
      </c>
      <c r="I1188" s="18">
        <v>45597</v>
      </c>
      <c r="J1188" s="10">
        <v>1</v>
      </c>
      <c r="K1188" s="10">
        <v>3366</v>
      </c>
      <c r="L1188">
        <v>3366</v>
      </c>
      <c r="M1188" s="10">
        <v>3366</v>
      </c>
      <c r="N1188">
        <f t="shared" si="23"/>
        <v>3366</v>
      </c>
      <c r="P11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Row],[orderNum]],ТабПозиции[orderSumm])&gt;1500),ABS(N1188*VLOOKUP(ТабПозиции[[#This Row],[orderNum]],ТабЗаказы[#Data],MATCH("Percent",ТабЗаказы[#Headers],0),0))/100,200/COUNTIF(ТабПозиции[orderNum],ТабПозиции[[#This Row],[orderNum]])),0),"")</f>
        <v>505</v>
      </c>
      <c r="Q1188">
        <f>IF(OR(ТабПозиции[[#This Row],[item]]="По штрихкоду",ТабПозиции[[#This Row],[item]]="Посылка"),ТабПозиции[[#This Row],[deliverySumm]]+ТабПозиции[[#This Row],[deliveryPost]],SUM(N1188:P1188))</f>
        <v>505</v>
      </c>
      <c r="R1188" s="41">
        <v>505</v>
      </c>
      <c r="S1188" s="46">
        <f>ТабПозиции[[#This Row],[totalSumm]]-ТабПозиции[[#This Row],[payment]]</f>
        <v>0</v>
      </c>
      <c r="T1188" s="18" t="s">
        <v>970</v>
      </c>
      <c r="U1188" s="40" t="s">
        <v>545</v>
      </c>
      <c r="V1188" s="40" t="s">
        <v>545</v>
      </c>
      <c r="W1188" s="40" t="s">
        <v>545</v>
      </c>
      <c r="X1188" s="3"/>
      <c r="Y1188"/>
    </row>
    <row r="1189" spans="1:25" hidden="1" x14ac:dyDescent="0.25">
      <c r="A1189" s="10">
        <v>322</v>
      </c>
      <c r="B1189" s="1">
        <f>IFERROR(VLOOKUP(ТабПозиции[[#This Row],[orderNum]],ТабЗаказы[#Data],MATCH(B$7,ТабЗаказы[#Headers],0),0),"")</f>
        <v>45597</v>
      </c>
      <c r="C1189" t="str">
        <f>MONTH(ТабПозиции[[#This Row],[date]])&amp;"/"&amp;YEAR(ТабПозиции[[#This Row],[date]])</f>
        <v>11/2024</v>
      </c>
      <c r="D1189" s="1" t="str">
        <f>IFERROR(VLOOKUP(ТабПозиции[[#This Row],[orderNum]],ТабЗаказы[#Data],MATCH(D$7,ТабЗаказы[#Headers],0),0),"")</f>
        <v/>
      </c>
      <c r="E1189" s="1" t="str">
        <f>IFERROR(VLOOKUP(ТабПозиции[[#This Row],[orderNum]],ТабЗаказы[#Data],MATCH(E$7,ТабЗаказы[#Headers],0),0),"")</f>
        <v/>
      </c>
      <c r="F1189" s="10" t="s">
        <v>32</v>
      </c>
      <c r="G1189" s="40" t="s">
        <v>545</v>
      </c>
      <c r="I1189" s="18">
        <v>45597</v>
      </c>
      <c r="J1189" s="10">
        <v>1</v>
      </c>
      <c r="K1189" s="10">
        <v>4219</v>
      </c>
      <c r="L1189">
        <v>4219</v>
      </c>
      <c r="M1189" s="10">
        <v>4219</v>
      </c>
      <c r="N1189">
        <f t="shared" si="23"/>
        <v>4219</v>
      </c>
      <c r="P11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Row],[orderNum]],ТабПозиции[orderSumm])&gt;1500),ABS(N1189*VLOOKUP(ТабПозиции[[#This Row],[orderNum]],ТабЗаказы[#Data],MATCH("Percent",ТабЗаказы[#Headers],0),0))/100,200/COUNTIF(ТабПозиции[orderNum],ТабПозиции[[#This Row],[orderNum]])),0),"")</f>
        <v>633</v>
      </c>
      <c r="Q1189">
        <f>IF(OR(ТабПозиции[[#This Row],[item]]="По штрихкоду",ТабПозиции[[#This Row],[item]]="Посылка"),ТабПозиции[[#This Row],[deliverySumm]]+ТабПозиции[[#This Row],[deliveryPost]],SUM(N1189:P1189))</f>
        <v>633</v>
      </c>
      <c r="R1189" s="41">
        <v>633</v>
      </c>
      <c r="S1189" s="46">
        <f>ТабПозиции[[#This Row],[totalSumm]]-ТабПозиции[[#This Row],[payment]]</f>
        <v>0</v>
      </c>
      <c r="T1189" s="18" t="s">
        <v>970</v>
      </c>
      <c r="U1189" s="40" t="s">
        <v>545</v>
      </c>
      <c r="V1189" s="40" t="s">
        <v>545</v>
      </c>
      <c r="W1189" s="40" t="s">
        <v>545</v>
      </c>
      <c r="X1189" s="3"/>
      <c r="Y1189"/>
    </row>
    <row r="1190" spans="1:25" hidden="1" x14ac:dyDescent="0.25">
      <c r="A1190" s="10">
        <v>323</v>
      </c>
      <c r="B1190" s="1">
        <f>IFERROR(VLOOKUP(ТабПозиции[[#This Row],[orderNum]],ТабЗаказы[#Data],MATCH(B$7,ТабЗаказы[#Headers],0),0),"")</f>
        <v>45598</v>
      </c>
      <c r="C1190" t="str">
        <f>MONTH(ТабПозиции[[#This Row],[date]])&amp;"/"&amp;YEAR(ТабПозиции[[#This Row],[date]])</f>
        <v>11/2024</v>
      </c>
      <c r="D1190" s="1" t="str">
        <f>IFERROR(VLOOKUP(ТабПозиции[[#This Row],[orderNum]],ТабЗаказы[#Data],MATCH(D$7,ТабЗаказы[#Headers],0),0),"")</f>
        <v/>
      </c>
      <c r="E1190" s="1" t="str">
        <f>IFERROR(VLOOKUP(ТабПозиции[[#This Row],[orderNum]],ТабЗаказы[#Data],MATCH(E$7,ТабЗаказы[#Headers],0),0),"")</f>
        <v/>
      </c>
      <c r="F1190" s="16" t="s">
        <v>1691</v>
      </c>
      <c r="G1190" s="40" t="s">
        <v>545</v>
      </c>
      <c r="I1190" s="18">
        <v>45603</v>
      </c>
      <c r="J1190" s="10">
        <v>1</v>
      </c>
      <c r="K1190" s="10">
        <v>1168</v>
      </c>
      <c r="L1190">
        <f>ТабПозиции[[#This Row],[discountPrice]]*ТабПозиции[[#This Row],[quantity]]</f>
        <v>1168</v>
      </c>
      <c r="M1190" s="10">
        <v>1258</v>
      </c>
      <c r="N1190">
        <f t="shared" si="23"/>
        <v>1258</v>
      </c>
      <c r="P11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Row],[orderNum]],ТабПозиции[orderSumm])&gt;1500),ABS(N1190*VLOOKUP(ТабПозиции[[#This Row],[orderNum]],ТабЗаказы[#Data],MATCH("Percent",ТабЗаказы[#Headers],0),0))/100,200/COUNTIF(ТабПозиции[orderNum],ТабПозиции[[#This Row],[orderNum]])),0),"")</f>
        <v>126</v>
      </c>
      <c r="Q1190">
        <f>IF(OR(ТабПозиции[[#This Row],[item]]="По штрихкоду",ТабПозиции[[#This Row],[item]]="Посылка"),ТабПозиции[[#This Row],[deliverySumm]]+ТабПозиции[[#This Row],[deliveryPost]],SUM(N1190:P1190))</f>
        <v>1384</v>
      </c>
      <c r="R1190" s="41">
        <v>1384</v>
      </c>
      <c r="S1190" s="46">
        <f>ТабПозиции[[#This Row],[totalSumm]]-ТабПозиции[[#This Row],[payment]]</f>
        <v>0</v>
      </c>
      <c r="T1190" s="18" t="s">
        <v>960</v>
      </c>
      <c r="U1190" s="40" t="s">
        <v>545</v>
      </c>
      <c r="V1190" s="40" t="s">
        <v>545</v>
      </c>
      <c r="W1190" s="40" t="s">
        <v>545</v>
      </c>
      <c r="X1190" s="3"/>
      <c r="Y1190"/>
    </row>
    <row r="1191" spans="1:25" hidden="1" x14ac:dyDescent="0.25">
      <c r="A1191" s="10">
        <v>323</v>
      </c>
      <c r="B1191" s="1">
        <f>IFERROR(VLOOKUP(ТабПозиции[[#This Row],[orderNum]],ТабЗаказы[#Data],MATCH(B$7,ТабЗаказы[#Headers],0),0),"")</f>
        <v>45598</v>
      </c>
      <c r="C1191" t="str">
        <f>MONTH(ТабПозиции[[#This Row],[date]])&amp;"/"&amp;YEAR(ТабПозиции[[#This Row],[date]])</f>
        <v>11/2024</v>
      </c>
      <c r="D1191" s="1" t="str">
        <f>IFERROR(VLOOKUP(ТабПозиции[[#This Row],[orderNum]],ТабЗаказы[#Data],MATCH(D$7,ТабЗаказы[#Headers],0),0),"")</f>
        <v/>
      </c>
      <c r="E1191" s="1" t="str">
        <f>IFERROR(VLOOKUP(ТабПозиции[[#This Row],[orderNum]],ТабЗаказы[#Data],MATCH(E$7,ТабЗаказы[#Headers],0),0),"")</f>
        <v/>
      </c>
      <c r="F1191" s="16" t="s">
        <v>1692</v>
      </c>
      <c r="G1191" s="40" t="s">
        <v>545</v>
      </c>
      <c r="I1191" s="18">
        <v>45601</v>
      </c>
      <c r="J1191" s="10">
        <v>1</v>
      </c>
      <c r="K1191" s="10">
        <v>888</v>
      </c>
      <c r="L1191">
        <f>ТабПозиции[[#This Row],[discountPrice]]*ТабПозиции[[#This Row],[quantity]]</f>
        <v>888</v>
      </c>
      <c r="M1191" s="10">
        <v>965</v>
      </c>
      <c r="N1191">
        <f t="shared" si="23"/>
        <v>965</v>
      </c>
      <c r="P11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Row],[orderNum]],ТабПозиции[orderSumm])&gt;1500),ABS(N1191*VLOOKUP(ТабПозиции[[#This Row],[orderNum]],ТабЗаказы[#Data],MATCH("Percent",ТабЗаказы[#Headers],0),0))/100,200/COUNTIF(ТабПозиции[orderNum],ТабПозиции[[#This Row],[orderNum]])),0),"")</f>
        <v>97</v>
      </c>
      <c r="Q1191">
        <f>IF(OR(ТабПозиции[[#This Row],[item]]="По штрихкоду",ТабПозиции[[#This Row],[item]]="Посылка"),ТабПозиции[[#This Row],[deliverySumm]]+ТабПозиции[[#This Row],[deliveryPost]],SUM(N1191:P1191))</f>
        <v>1062</v>
      </c>
      <c r="R1191" s="41">
        <v>1062</v>
      </c>
      <c r="S1191" s="46">
        <f>ТабПозиции[[#This Row],[totalSumm]]-ТабПозиции[[#This Row],[payment]]</f>
        <v>0</v>
      </c>
      <c r="T1191" s="18" t="s">
        <v>960</v>
      </c>
      <c r="U1191" s="40" t="s">
        <v>545</v>
      </c>
      <c r="V1191" s="40" t="s">
        <v>545</v>
      </c>
      <c r="W1191" s="40" t="s">
        <v>545</v>
      </c>
      <c r="X1191" s="3"/>
      <c r="Y1191"/>
    </row>
    <row r="1192" spans="1:25" hidden="1" x14ac:dyDescent="0.25">
      <c r="A1192" s="10">
        <v>323</v>
      </c>
      <c r="B1192" s="1">
        <f>IFERROR(VLOOKUP(ТабПозиции[[#This Row],[orderNum]],ТабЗаказы[#Data],MATCH(B$7,ТабЗаказы[#Headers],0),0),"")</f>
        <v>45598</v>
      </c>
      <c r="C1192" t="str">
        <f>MONTH(ТабПозиции[[#This Row],[date]])&amp;"/"&amp;YEAR(ТабПозиции[[#This Row],[date]])</f>
        <v>11/2024</v>
      </c>
      <c r="D1192" s="1" t="str">
        <f>IFERROR(VLOOKUP(ТабПозиции[[#This Row],[orderNum]],ТабЗаказы[#Data],MATCH(D$7,ТабЗаказы[#Headers],0),0),"")</f>
        <v/>
      </c>
      <c r="E1192" s="1" t="str">
        <f>IFERROR(VLOOKUP(ТабПозиции[[#This Row],[orderNum]],ТабЗаказы[#Data],MATCH(E$7,ТабЗаказы[#Headers],0),0),"")</f>
        <v/>
      </c>
      <c r="F1192" s="16" t="s">
        <v>1693</v>
      </c>
      <c r="G1192" s="40" t="s">
        <v>545</v>
      </c>
      <c r="I1192" s="18">
        <v>45601</v>
      </c>
      <c r="J1192" s="10">
        <v>1</v>
      </c>
      <c r="K1192" s="10">
        <v>767</v>
      </c>
      <c r="L1192">
        <f>ТабПозиции[[#This Row],[discountPrice]]*ТабПозиции[[#This Row],[quantity]]</f>
        <v>767</v>
      </c>
      <c r="M1192" s="10">
        <v>834</v>
      </c>
      <c r="N1192">
        <f t="shared" si="23"/>
        <v>834</v>
      </c>
      <c r="P11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Row],[orderNum]],ТабПозиции[orderSumm])&gt;1500),ABS(N1192*VLOOKUP(ТабПозиции[[#This Row],[orderNum]],ТабЗаказы[#Data],MATCH("Percent",ТабЗаказы[#Headers],0),0))/100,200/COUNTIF(ТабПозиции[orderNum],ТабПозиции[[#This Row],[orderNum]])),0),"")</f>
        <v>83</v>
      </c>
      <c r="Q1192">
        <f>IF(OR(ТабПозиции[[#This Row],[item]]="По штрихкоду",ТабПозиции[[#This Row],[item]]="Посылка"),ТабПозиции[[#This Row],[deliverySumm]]+ТабПозиции[[#This Row],[deliveryPost]],SUM(N1192:P1192))</f>
        <v>917</v>
      </c>
      <c r="R1192" s="41">
        <v>917</v>
      </c>
      <c r="S1192" s="46">
        <f>ТабПозиции[[#This Row],[totalSumm]]-ТабПозиции[[#This Row],[payment]]</f>
        <v>0</v>
      </c>
      <c r="T1192" s="18" t="s">
        <v>960</v>
      </c>
      <c r="U1192" s="40" t="s">
        <v>545</v>
      </c>
      <c r="V1192" s="40" t="s">
        <v>545</v>
      </c>
      <c r="W1192" s="40" t="s">
        <v>545</v>
      </c>
      <c r="X1192" s="3"/>
      <c r="Y1192"/>
    </row>
    <row r="1193" spans="1:25" hidden="1" x14ac:dyDescent="0.25">
      <c r="A1193" s="10">
        <v>323</v>
      </c>
      <c r="B1193" s="1">
        <f>IFERROR(VLOOKUP(ТабПозиции[[#This Row],[orderNum]],ТабЗаказы[#Data],MATCH(B$7,ТабЗаказы[#Headers],0),0),"")</f>
        <v>45598</v>
      </c>
      <c r="C1193" t="str">
        <f>MONTH(ТабПозиции[[#This Row],[date]])&amp;"/"&amp;YEAR(ТабПозиции[[#This Row],[date]])</f>
        <v>11/2024</v>
      </c>
      <c r="D1193" s="1" t="str">
        <f>IFERROR(VLOOKUP(ТабПозиции[[#This Row],[orderNum]],ТабЗаказы[#Data],MATCH(D$7,ТабЗаказы[#Headers],0),0),"")</f>
        <v/>
      </c>
      <c r="E1193" s="1" t="str">
        <f>IFERROR(VLOOKUP(ТабПозиции[[#This Row],[orderNum]],ТабЗаказы[#Data],MATCH(E$7,ТабЗаказы[#Headers],0),0),"")</f>
        <v/>
      </c>
      <c r="F1193" s="16" t="s">
        <v>1694</v>
      </c>
      <c r="G1193" s="40" t="s">
        <v>545</v>
      </c>
      <c r="I1193" s="18">
        <v>45601</v>
      </c>
      <c r="J1193" s="10">
        <v>1</v>
      </c>
      <c r="K1193" s="10">
        <v>898</v>
      </c>
      <c r="L1193">
        <f>ТабПозиции[[#This Row],[discountPrice]]*ТабПозиции[[#This Row],[quantity]]</f>
        <v>898</v>
      </c>
      <c r="M1193" s="10">
        <v>976</v>
      </c>
      <c r="N1193">
        <f t="shared" si="23"/>
        <v>976</v>
      </c>
      <c r="P11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Row],[orderNum]],ТабПозиции[orderSumm])&gt;1500),ABS(N1193*VLOOKUP(ТабПозиции[[#This Row],[orderNum]],ТабЗаказы[#Data],MATCH("Percent",ТабЗаказы[#Headers],0),0))/100,200/COUNTIF(ТабПозиции[orderNum],ТабПозиции[[#This Row],[orderNum]])),0),"")</f>
        <v>98</v>
      </c>
      <c r="Q1193">
        <f>IF(OR(ТабПозиции[[#This Row],[item]]="По штрихкоду",ТабПозиции[[#This Row],[item]]="Посылка"),ТабПозиции[[#This Row],[deliverySumm]]+ТабПозиции[[#This Row],[deliveryPost]],SUM(N1193:P1193))</f>
        <v>1074</v>
      </c>
      <c r="R1193" s="41">
        <v>1074</v>
      </c>
      <c r="S1193" s="46">
        <f>ТабПозиции[[#This Row],[totalSumm]]-ТабПозиции[[#This Row],[payment]]</f>
        <v>0</v>
      </c>
      <c r="T1193" s="18" t="s">
        <v>960</v>
      </c>
      <c r="U1193" s="40" t="s">
        <v>545</v>
      </c>
      <c r="V1193" s="40" t="s">
        <v>545</v>
      </c>
      <c r="W1193" s="40" t="s">
        <v>545</v>
      </c>
      <c r="X1193" s="3"/>
      <c r="Y1193"/>
    </row>
    <row r="1194" spans="1:25" hidden="1" x14ac:dyDescent="0.25">
      <c r="A1194" s="10">
        <v>323</v>
      </c>
      <c r="B1194" s="1">
        <f>IFERROR(VLOOKUP(ТабПозиции[[#This Row],[orderNum]],ТабЗаказы[#Data],MATCH(B$7,ТабЗаказы[#Headers],0),0),"")</f>
        <v>45598</v>
      </c>
      <c r="C1194" t="str">
        <f>MONTH(ТабПозиции[[#This Row],[date]])&amp;"/"&amp;YEAR(ТабПозиции[[#This Row],[date]])</f>
        <v>11/2024</v>
      </c>
      <c r="D1194" s="1" t="str">
        <f>IFERROR(VLOOKUP(ТабПозиции[[#This Row],[orderNum]],ТабЗаказы[#Data],MATCH(D$7,ТабЗаказы[#Headers],0),0),"")</f>
        <v/>
      </c>
      <c r="E1194" s="1" t="str">
        <f>IFERROR(VLOOKUP(ТабПозиции[[#This Row],[orderNum]],ТабЗаказы[#Data],MATCH(E$7,ТабЗаказы[#Headers],0),0),"")</f>
        <v/>
      </c>
      <c r="F1194" s="16" t="s">
        <v>1695</v>
      </c>
      <c r="G1194" s="40" t="s">
        <v>545</v>
      </c>
      <c r="I1194" s="18">
        <v>45601</v>
      </c>
      <c r="J1194" s="10">
        <v>1</v>
      </c>
      <c r="K1194" s="10">
        <v>443</v>
      </c>
      <c r="L1194">
        <f>ТабПозиции[[#This Row],[discountPrice]]*ТабПозиции[[#This Row],[quantity]]</f>
        <v>443</v>
      </c>
      <c r="M1194" s="10">
        <v>476</v>
      </c>
      <c r="N1194">
        <f t="shared" si="23"/>
        <v>476</v>
      </c>
      <c r="P11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Row],[orderNum]],ТабПозиции[orderSumm])&gt;1500),ABS(N1194*VLOOKUP(ТабПозиции[[#This Row],[orderNum]],ТабЗаказы[#Data],MATCH("Percent",ТабЗаказы[#Headers],0),0))/100,200/COUNTIF(ТабПозиции[orderNum],ТабПозиции[[#This Row],[orderNum]])),0),"")</f>
        <v>48</v>
      </c>
      <c r="Q1194">
        <f>IF(OR(ТабПозиции[[#This Row],[item]]="По штрихкоду",ТабПозиции[[#This Row],[item]]="Посылка"),ТабПозиции[[#This Row],[deliverySumm]]+ТабПозиции[[#This Row],[deliveryPost]],SUM(N1194:P1194))</f>
        <v>524</v>
      </c>
      <c r="R1194" s="41">
        <v>524</v>
      </c>
      <c r="S1194" s="46">
        <f>ТабПозиции[[#This Row],[totalSumm]]-ТабПозиции[[#This Row],[payment]]</f>
        <v>0</v>
      </c>
      <c r="T1194" s="18" t="s">
        <v>960</v>
      </c>
      <c r="U1194" s="40" t="s">
        <v>545</v>
      </c>
      <c r="V1194" s="40" t="s">
        <v>545</v>
      </c>
      <c r="W1194" s="40" t="s">
        <v>545</v>
      </c>
      <c r="X1194" s="3"/>
      <c r="Y1194"/>
    </row>
    <row r="1195" spans="1:25" hidden="1" x14ac:dyDescent="0.25">
      <c r="A1195" s="10">
        <v>323</v>
      </c>
      <c r="B1195" s="1">
        <f>IFERROR(VLOOKUP(ТабПозиции[[#This Row],[orderNum]],ТабЗаказы[#Data],MATCH(B$7,ТабЗаказы[#Headers],0),0),"")</f>
        <v>45598</v>
      </c>
      <c r="C1195" t="str">
        <f>MONTH(ТабПозиции[[#This Row],[date]])&amp;"/"&amp;YEAR(ТабПозиции[[#This Row],[date]])</f>
        <v>11/2024</v>
      </c>
      <c r="D1195" s="1" t="str">
        <f>IFERROR(VLOOKUP(ТабПозиции[[#This Row],[orderNum]],ТабЗаказы[#Data],MATCH(D$7,ТабЗаказы[#Headers],0),0),"")</f>
        <v/>
      </c>
      <c r="E1195" s="1" t="str">
        <f>IFERROR(VLOOKUP(ТабПозиции[[#This Row],[orderNum]],ТабЗаказы[#Data],MATCH(E$7,ТабЗаказы[#Headers],0),0),"")</f>
        <v/>
      </c>
      <c r="F1195" s="16" t="s">
        <v>1696</v>
      </c>
      <c r="G1195" s="40" t="s">
        <v>545</v>
      </c>
      <c r="I1195" s="18">
        <v>45601</v>
      </c>
      <c r="J1195" s="10">
        <v>1</v>
      </c>
      <c r="K1195" s="10">
        <v>416</v>
      </c>
      <c r="L1195">
        <f>ТабПозиции[[#This Row],[discountPrice]]*ТабПозиции[[#This Row],[quantity]]</f>
        <v>416</v>
      </c>
      <c r="M1195" s="10">
        <v>433</v>
      </c>
      <c r="N1195">
        <f t="shared" si="23"/>
        <v>433</v>
      </c>
      <c r="P11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Row],[orderNum]],ТабПозиции[orderSumm])&gt;1500),ABS(N1195*VLOOKUP(ТабПозиции[[#This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195">
        <f>IF(OR(ТабПозиции[[#This Row],[item]]="По штрихкоду",ТабПозиции[[#This Row],[item]]="Посылка"),ТабПозиции[[#This Row],[deliverySumm]]+ТабПозиции[[#This Row],[deliveryPost]],SUM(N1195:P1195))</f>
        <v>476</v>
      </c>
      <c r="R1195" s="41">
        <v>476</v>
      </c>
      <c r="S1195" s="46">
        <f>ТабПозиции[[#This Row],[totalSumm]]-ТабПозиции[[#This Row],[payment]]</f>
        <v>0</v>
      </c>
      <c r="T1195" s="18" t="s">
        <v>960</v>
      </c>
      <c r="U1195" s="40" t="s">
        <v>545</v>
      </c>
      <c r="V1195" s="40" t="s">
        <v>545</v>
      </c>
      <c r="W1195" s="40" t="s">
        <v>545</v>
      </c>
      <c r="X1195" s="3"/>
      <c r="Y1195"/>
    </row>
    <row r="1196" spans="1:25" hidden="1" x14ac:dyDescent="0.25">
      <c r="A1196" s="10">
        <v>323</v>
      </c>
      <c r="B1196" s="1">
        <f>IFERROR(VLOOKUP(ТабПозиции[[#This Row],[orderNum]],ТабЗаказы[#Data],MATCH(B$7,ТабЗаказы[#Headers],0),0),"")</f>
        <v>45598</v>
      </c>
      <c r="C1196" t="str">
        <f>MONTH(ТабПозиции[[#This Row],[date]])&amp;"/"&amp;YEAR(ТабПозиции[[#This Row],[date]])</f>
        <v>11/2024</v>
      </c>
      <c r="D1196" s="1" t="str">
        <f>IFERROR(VLOOKUP(ТабПозиции[[#This Row],[orderNum]],ТабЗаказы[#Data],MATCH(D$7,ТабЗаказы[#Headers],0),0),"")</f>
        <v/>
      </c>
      <c r="E1196" s="1" t="str">
        <f>IFERROR(VLOOKUP(ТабПозиции[[#This Row],[orderNum]],ТабЗаказы[#Data],MATCH(E$7,ТабЗаказы[#Headers],0),0),"")</f>
        <v/>
      </c>
      <c r="F1196" s="16" t="s">
        <v>1697</v>
      </c>
      <c r="G1196" s="40" t="s">
        <v>545</v>
      </c>
      <c r="I1196" s="18">
        <v>45600</v>
      </c>
      <c r="J1196" s="10">
        <v>1</v>
      </c>
      <c r="K1196" s="10">
        <v>377</v>
      </c>
      <c r="L1196">
        <f>ТабПозиции[[#This Row],[discountPrice]]*ТабПозиции[[#This Row],[quantity]]</f>
        <v>377</v>
      </c>
      <c r="M1196" s="10">
        <v>406</v>
      </c>
      <c r="N1196">
        <f t="shared" si="23"/>
        <v>406</v>
      </c>
      <c r="P11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Row],[orderNum]],ТабПозиции[orderSumm])&gt;1500),ABS(N1196*VLOOKUP(ТабПозиции[[#This Row],[orderNum]],ТабЗаказы[#Data],MATCH("Percent",ТабЗаказы[#Headers],0),0))/100,200/COUNTIF(ТабПозиции[orderNum],ТабПозиции[[#This Row],[orderNum]])),0),"")</f>
        <v>41</v>
      </c>
      <c r="Q1196">
        <f>IF(OR(ТабПозиции[[#This Row],[item]]="По штрихкоду",ТабПозиции[[#This Row],[item]]="Посылка"),ТабПозиции[[#This Row],[deliverySumm]]+ТабПозиции[[#This Row],[deliveryPost]],SUM(N1196:P1196))</f>
        <v>447</v>
      </c>
      <c r="R1196" s="41">
        <v>447</v>
      </c>
      <c r="S1196" s="46">
        <f>ТабПозиции[[#This Row],[totalSumm]]-ТабПозиции[[#This Row],[payment]]</f>
        <v>0</v>
      </c>
      <c r="T1196" s="18" t="s">
        <v>960</v>
      </c>
      <c r="U1196" s="40" t="s">
        <v>545</v>
      </c>
      <c r="V1196" s="40" t="s">
        <v>545</v>
      </c>
      <c r="W1196" s="40" t="s">
        <v>545</v>
      </c>
      <c r="X1196" s="3"/>
      <c r="Y1196"/>
    </row>
    <row r="1197" spans="1:25" hidden="1" x14ac:dyDescent="0.25">
      <c r="A1197" s="10">
        <v>323</v>
      </c>
      <c r="B1197" s="1">
        <f>IFERROR(VLOOKUP(ТабПозиции[[#This Row],[orderNum]],ТабЗаказы[#Data],MATCH(B$7,ТабЗаказы[#Headers],0),0),"")</f>
        <v>45598</v>
      </c>
      <c r="C1197" t="str">
        <f>MONTH(ТабПозиции[[#This Row],[date]])&amp;"/"&amp;YEAR(ТабПозиции[[#This Row],[date]])</f>
        <v>11/2024</v>
      </c>
      <c r="D1197" s="1" t="str">
        <f>IFERROR(VLOOKUP(ТабПозиции[[#This Row],[orderNum]],ТабЗаказы[#Data],MATCH(D$7,ТабЗаказы[#Headers],0),0),"")</f>
        <v/>
      </c>
      <c r="E1197" s="1" t="str">
        <f>IFERROR(VLOOKUP(ТабПозиции[[#This Row],[orderNum]],ТабЗаказы[#Data],MATCH(E$7,ТабЗаказы[#Headers],0),0),"")</f>
        <v/>
      </c>
      <c r="F1197" s="16" t="s">
        <v>1698</v>
      </c>
      <c r="G1197" s="40" t="s">
        <v>545</v>
      </c>
      <c r="I1197" s="18">
        <v>45633</v>
      </c>
      <c r="J1197" s="10">
        <v>1</v>
      </c>
      <c r="K1197" s="10">
        <v>859</v>
      </c>
      <c r="L1197">
        <f>ТабПозиции[[#This Row],[discountPrice]]*ТабПозиции[[#This Row],[quantity]]</f>
        <v>859</v>
      </c>
      <c r="M1197" s="10">
        <v>921</v>
      </c>
      <c r="N1197">
        <f t="shared" si="23"/>
        <v>921</v>
      </c>
      <c r="P11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Row],[orderNum]],ТабПозиции[orderSumm])&gt;1500),ABS(N1197*VLOOKUP(ТабПозиции[[#This Row],[orderNum]],ТабЗаказы[#Data],MATCH("Percent",ТабЗаказы[#Headers],0),0))/100,200/COUNTIF(ТабПозиции[orderNum],ТабПозиции[[#This Row],[orderNum]])),0),"")</f>
        <v>92</v>
      </c>
      <c r="Q1197">
        <f>IF(OR(ТабПозиции[[#This Row],[item]]="По штрихкоду",ТабПозиции[[#This Row],[item]]="Посылка"),ТабПозиции[[#This Row],[deliverySumm]]+ТабПозиции[[#This Row],[deliveryPost]],SUM(N1197:P1197))</f>
        <v>1013</v>
      </c>
      <c r="R1197" s="41">
        <v>1013</v>
      </c>
      <c r="S1197" s="46">
        <f>ТабПозиции[[#This Row],[totalSumm]]-ТабПозиции[[#This Row],[payment]]</f>
        <v>0</v>
      </c>
      <c r="T1197" s="18" t="s">
        <v>960</v>
      </c>
      <c r="U1197" s="40" t="s">
        <v>545</v>
      </c>
      <c r="V1197" s="40" t="str">
        <f>IF(AND(ТабПозиции[[#This Row],[Остаток]]=0,ТабПозиции[[#This Row],[Заказан]]="Да"),"Да","Нет")</f>
        <v>Да</v>
      </c>
      <c r="W1197" s="40" t="s">
        <v>545</v>
      </c>
      <c r="X1197" s="3"/>
      <c r="Y1197"/>
    </row>
    <row r="1198" spans="1:25" hidden="1" x14ac:dyDescent="0.25">
      <c r="A1198" s="10">
        <v>316</v>
      </c>
      <c r="B1198" s="1">
        <f>IFERROR(VLOOKUP(ТабПозиции[[#This Row],[orderNum]],ТабЗаказы[#Data],MATCH(B$7,ТабЗаказы[#Headers],0),0),"")</f>
        <v>45595</v>
      </c>
      <c r="C1198" t="str">
        <f>MONTH(ТабПозиции[[#This Row],[date]])&amp;"/"&amp;YEAR(ТабПозиции[[#This Row],[date]])</f>
        <v>10/2024</v>
      </c>
      <c r="D1198" s="1" t="str">
        <f>IFERROR(VLOOKUP(ТабПозиции[[#This Row],[orderNum]],ТабЗаказы[#Data],MATCH(D$7,ТабЗаказы[#Headers],0),0),"")</f>
        <v/>
      </c>
      <c r="E1198" s="1" t="str">
        <f>IFERROR(VLOOKUP(ТабПозиции[[#This Row],[orderNum]],ТабЗаказы[#Data],MATCH(E$7,ТабЗаказы[#Headers],0),0),"")</f>
        <v/>
      </c>
      <c r="F1198" s="16" t="s">
        <v>1700</v>
      </c>
      <c r="G1198" s="40" t="s">
        <v>545</v>
      </c>
      <c r="I1198" s="18">
        <v>45602</v>
      </c>
      <c r="J1198" s="10">
        <v>1</v>
      </c>
      <c r="K1198" s="10">
        <v>357</v>
      </c>
      <c r="L1198">
        <f>ТабПозиции[[#This Row],[discountPrice]]*ТабПозиции[[#This Row],[quantity]]</f>
        <v>357</v>
      </c>
      <c r="M1198" s="10">
        <v>368</v>
      </c>
      <c r="N1198">
        <f t="shared" si="23"/>
        <v>368</v>
      </c>
      <c r="P11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Row],[orderNum]],ТабПозиции[orderSumm])&gt;1500),ABS(N1198*VLOOKUP(ТабПозиции[[#This Row],[orderNum]],ТабЗаказы[#Data],MATCH("Percent",ТабЗаказы[#Headers],0),0))/100,200/COUNTIF(ТабПозиции[orderNum],ТабПозиции[[#This Row],[orderNum]])),0),"")</f>
        <v>55</v>
      </c>
      <c r="Q1198">
        <f>IF(OR(ТабПозиции[[#This Row],[item]]="По штрихкоду",ТабПозиции[[#This Row],[item]]="Посылка"),ТабПозиции[[#This Row],[deliverySumm]]+ТабПозиции[[#This Row],[deliveryPost]],SUM(N1198:P1198))</f>
        <v>423</v>
      </c>
      <c r="R1198" s="41">
        <v>423</v>
      </c>
      <c r="S1198" s="46">
        <f>ТабПозиции[[#This Row],[totalSumm]]-ТабПозиции[[#This Row],[payment]]</f>
        <v>0</v>
      </c>
      <c r="T1198" s="18" t="s">
        <v>960</v>
      </c>
      <c r="U1198" s="40" t="s">
        <v>545</v>
      </c>
      <c r="V1198" s="40" t="s">
        <v>545</v>
      </c>
      <c r="W1198" s="40" t="s">
        <v>545</v>
      </c>
      <c r="X1198" s="3"/>
      <c r="Y1198"/>
    </row>
    <row r="1199" spans="1:25" hidden="1" x14ac:dyDescent="0.25">
      <c r="A1199" s="10">
        <v>325</v>
      </c>
      <c r="B1199" s="1">
        <f>IFERROR(VLOOKUP(ТабПозиции[[#This Row],[orderNum]],ТабЗаказы[#Data],MATCH(B$7,ТабЗаказы[#Headers],0),0),"")</f>
        <v>45600</v>
      </c>
      <c r="C1199" t="str">
        <f>MONTH(ТабПозиции[[#This Row],[date]])&amp;"/"&amp;YEAR(ТабПозиции[[#This Row],[date]])</f>
        <v>11/2024</v>
      </c>
      <c r="D1199" s="1" t="str">
        <f>IFERROR(VLOOKUP(ТабПозиции[[#This Row],[orderNum]],ТабЗаказы[#Data],MATCH(D$7,ТабЗаказы[#Headers],0),0),"")</f>
        <v/>
      </c>
      <c r="E1199" s="1" t="str">
        <f>IFERROR(VLOOKUP(ТабПозиции[[#This Row],[orderNum]],ТабЗаказы[#Data],MATCH(E$7,ТабЗаказы[#Headers],0),0),"")</f>
        <v/>
      </c>
      <c r="F1199" s="16" t="s">
        <v>1715</v>
      </c>
      <c r="G1199" s="40" t="s">
        <v>545</v>
      </c>
      <c r="I1199" s="18">
        <v>45605</v>
      </c>
      <c r="J1199" s="10">
        <v>1</v>
      </c>
      <c r="K1199" s="10">
        <v>959</v>
      </c>
      <c r="L1199">
        <f>ТабПозиции[[#This Row],[discountPrice]]*ТабПозиции[[#This Row],[quantity]]</f>
        <v>959</v>
      </c>
      <c r="M1199" s="10">
        <v>1046</v>
      </c>
      <c r="N1199">
        <f t="shared" si="23"/>
        <v>1046</v>
      </c>
      <c r="P11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Row],[orderNum]],ТабПозиции[orderSumm])&gt;1500),ABS(N1199*VLOOKUP(ТабПозиции[[#This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199">
        <f>IF(OR(ТабПозиции[[#This Row],[item]]="По штрихкоду",ТабПозиции[[#This Row],[item]]="Посылка"),ТабПозиции[[#This Row],[deliverySumm]]+ТабПозиции[[#This Row],[deliveryPost]],SUM(N1199:P1199))</f>
        <v>1246</v>
      </c>
      <c r="R1199" s="41">
        <v>1246</v>
      </c>
      <c r="S1199" s="46">
        <f>ТабПозиции[[#This Row],[totalSumm]]-ТабПозиции[[#This Row],[payment]]</f>
        <v>0</v>
      </c>
      <c r="T1199" s="18" t="s">
        <v>960</v>
      </c>
      <c r="U1199" s="40" t="s">
        <v>545</v>
      </c>
      <c r="V1199" s="40" t="str">
        <f>IF(AND(ТабПозиции[[#This Row],[Остаток]]=0,ТабПозиции[[#This Row],[Заказан]]="Да"),"Да","Нет")</f>
        <v>Да</v>
      </c>
      <c r="W1199" s="40" t="s">
        <v>545</v>
      </c>
      <c r="X1199" s="3"/>
      <c r="Y1199"/>
    </row>
    <row r="1200" spans="1:25" hidden="1" x14ac:dyDescent="0.25">
      <c r="A1200" s="10">
        <v>324</v>
      </c>
      <c r="B1200" s="1">
        <f>IFERROR(VLOOKUP(ТабПозиции[[#This Row],[orderNum]],ТабЗаказы[#Data],MATCH(B$7,ТабЗаказы[#Headers],0),0),"")</f>
        <v>45599</v>
      </c>
      <c r="C1200" t="str">
        <f>MONTH(ТабПозиции[[#This Row],[date]])&amp;"/"&amp;YEAR(ТабПозиции[[#This Row],[date]])</f>
        <v>11/2024</v>
      </c>
      <c r="D1200" s="1" t="str">
        <f>IFERROR(VLOOKUP(ТабПозиции[[#This Row],[orderNum]],ТабЗаказы[#Data],MATCH(D$7,ТабЗаказы[#Headers],0),0),"")</f>
        <v/>
      </c>
      <c r="E1200" s="1" t="str">
        <f>IFERROR(VLOOKUP(ТабПозиции[[#This Row],[orderNum]],ТабЗаказы[#Data],MATCH(E$7,ТабЗаказы[#Headers],0),0),"")</f>
        <v/>
      </c>
      <c r="F1200" s="16" t="s">
        <v>1704</v>
      </c>
      <c r="G1200" s="40" t="s">
        <v>545</v>
      </c>
      <c r="I1200" s="18">
        <v>45605</v>
      </c>
      <c r="J1200" s="10">
        <v>9</v>
      </c>
      <c r="K1200" s="10">
        <v>203</v>
      </c>
      <c r="L1200">
        <f>ТабПозиции[[#This Row],[discountPrice]]*ТабПозиции[[#This Row],[quantity]]</f>
        <v>1827</v>
      </c>
      <c r="M1200" s="10">
        <v>214</v>
      </c>
      <c r="N1200">
        <f t="shared" si="23"/>
        <v>1926</v>
      </c>
      <c r="P12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Row],[orderNum]],ТабПозиции[orderSumm])&gt;1500),ABS(N1200*VLOOKUP(ТабПозиции[[#This Row],[orderNum]],ТабЗаказы[#Data],MATCH("Percent",ТабЗаказы[#Headers],0),0))/100,200/COUNTIF(ТабПозиции[orderNum],ТабПозиции[[#This Row],[orderNum]])),0),"")</f>
        <v>193</v>
      </c>
      <c r="Q1200">
        <f>IF(OR(ТабПозиции[[#This Row],[item]]="По штрихкоду",ТабПозиции[[#This Row],[item]]="Посылка"),ТабПозиции[[#This Row],[deliverySumm]]+ТабПозиции[[#This Row],[deliveryPost]],SUM(N1200:P1200))</f>
        <v>2119</v>
      </c>
      <c r="R1200" s="41">
        <v>2119</v>
      </c>
      <c r="S1200" s="46">
        <f>ТабПозиции[[#This Row],[totalSumm]]-ТабПозиции[[#This Row],[payment]]</f>
        <v>0</v>
      </c>
      <c r="T1200" s="18" t="s">
        <v>970</v>
      </c>
      <c r="U1200" s="40" t="s">
        <v>545</v>
      </c>
      <c r="V1200" s="40" t="str">
        <f>IF(AND(ТабПозиции[[#This Row],[Остаток]]=0,ТабПозиции[[#This Row],[Заказан]]="Да"),"Да","Нет")</f>
        <v>Да</v>
      </c>
      <c r="W1200" s="40" t="s">
        <v>545</v>
      </c>
      <c r="X1200" s="3"/>
      <c r="Y1200"/>
    </row>
    <row r="1201" spans="1:25" hidden="1" x14ac:dyDescent="0.25">
      <c r="A1201" s="10">
        <v>324</v>
      </c>
      <c r="B1201" s="1">
        <f>IFERROR(VLOOKUP(ТабПозиции[[#This Row],[orderNum]],ТабЗаказы[#Data],MATCH(B$7,ТабЗаказы[#Headers],0),0),"")</f>
        <v>45599</v>
      </c>
      <c r="C1201" t="str">
        <f>MONTH(ТабПозиции[[#This Row],[date]])&amp;"/"&amp;YEAR(ТабПозиции[[#This Row],[date]])</f>
        <v>11/2024</v>
      </c>
      <c r="D1201" s="1" t="str">
        <f>IFERROR(VLOOKUP(ТабПозиции[[#This Row],[orderNum]],ТабЗаказы[#Data],MATCH(D$7,ТабЗаказы[#Headers],0),0),"")</f>
        <v/>
      </c>
      <c r="E1201" s="1" t="str">
        <f>IFERROR(VLOOKUP(ТабПозиции[[#This Row],[orderNum]],ТабЗаказы[#Data],MATCH(E$7,ТабЗаказы[#Headers],0),0),"")</f>
        <v/>
      </c>
      <c r="F1201" s="16" t="s">
        <v>1705</v>
      </c>
      <c r="G1201" s="40" t="s">
        <v>545</v>
      </c>
      <c r="I1201" s="18">
        <v>45603</v>
      </c>
      <c r="J1201" s="10">
        <v>8</v>
      </c>
      <c r="K1201" s="10">
        <v>261</v>
      </c>
      <c r="L1201">
        <f>ТабПозиции[[#This Row],[discountPrice]]*ТабПозиции[[#This Row],[quantity]]</f>
        <v>2088</v>
      </c>
      <c r="M1201" s="10">
        <v>275</v>
      </c>
      <c r="N1201">
        <f t="shared" si="23"/>
        <v>2200</v>
      </c>
      <c r="P12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Row],[orderNum]],ТабПозиции[orderSumm])&gt;1500),ABS(N1201*VLOOKUP(ТабПозиции[[#This Row],[orderNum]],ТабЗаказы[#Data],MATCH("Percent",ТабЗаказы[#Headers],0),0))/100,200/COUNTIF(ТабПозиции[orderNum],ТабПозиции[[#This Row],[orderNum]])),0),"")</f>
        <v>220</v>
      </c>
      <c r="Q1201">
        <f>IF(OR(ТабПозиции[[#This Row],[item]]="По штрихкоду",ТабПозиции[[#This Row],[item]]="Посылка"),ТабПозиции[[#This Row],[deliverySumm]]+ТабПозиции[[#This Row],[deliveryPost]],SUM(N1201:P1201))</f>
        <v>2420</v>
      </c>
      <c r="R1201" s="41">
        <v>2420</v>
      </c>
      <c r="S1201" s="46">
        <f>ТабПозиции[[#This Row],[totalSumm]]-ТабПозиции[[#This Row],[payment]]</f>
        <v>0</v>
      </c>
      <c r="T1201" s="18" t="s">
        <v>970</v>
      </c>
      <c r="U1201" s="40" t="s">
        <v>545</v>
      </c>
      <c r="V1201" s="40" t="s">
        <v>545</v>
      </c>
      <c r="W1201" s="40" t="s">
        <v>545</v>
      </c>
      <c r="X1201" s="3"/>
      <c r="Y1201"/>
    </row>
    <row r="1202" spans="1:25" hidden="1" x14ac:dyDescent="0.25">
      <c r="A1202" s="10">
        <v>324</v>
      </c>
      <c r="B1202" s="1">
        <f>IFERROR(VLOOKUP(ТабПозиции[[#This Row],[orderNum]],ТабЗаказы[#Data],MATCH(B$7,ТабЗаказы[#Headers],0),0),"")</f>
        <v>45599</v>
      </c>
      <c r="C1202" t="str">
        <f>MONTH(ТабПозиции[[#This Row],[date]])&amp;"/"&amp;YEAR(ТабПозиции[[#This Row],[date]])</f>
        <v>11/2024</v>
      </c>
      <c r="D1202" s="1" t="str">
        <f>IFERROR(VLOOKUP(ТабПозиции[[#This Row],[orderNum]],ТабЗаказы[#Data],MATCH(D$7,ТабЗаказы[#Headers],0),0),"")</f>
        <v/>
      </c>
      <c r="E1202" s="1" t="str">
        <f>IFERROR(VLOOKUP(ТабПозиции[[#This Row],[orderNum]],ТабЗаказы[#Data],MATCH(E$7,ТабЗаказы[#Headers],0),0),"")</f>
        <v/>
      </c>
      <c r="F1202" s="16" t="s">
        <v>1706</v>
      </c>
      <c r="G1202" s="40" t="s">
        <v>545</v>
      </c>
      <c r="I1202" s="18">
        <v>45604</v>
      </c>
      <c r="J1202" s="10">
        <v>3</v>
      </c>
      <c r="K1202" s="10">
        <v>339</v>
      </c>
      <c r="L1202">
        <f>ТабПозиции[[#This Row],[discountPrice]]*ТабПозиции[[#This Row],[quantity]]</f>
        <v>1017</v>
      </c>
      <c r="M1202" s="10">
        <v>357</v>
      </c>
      <c r="N1202">
        <f t="shared" si="23"/>
        <v>1071</v>
      </c>
      <c r="P12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Row],[orderNum]],ТабПозиции[orderSumm])&gt;1500),ABS(N1202*VLOOKUP(ТабПозиции[[#This Row],[orderNum]],ТабЗаказы[#Data],MATCH("Percent",ТабЗаказы[#Headers],0),0))/100,200/COUNTIF(ТабПозиции[orderNum],ТабПозиции[[#This Row],[orderNum]])),0),"")</f>
        <v>107</v>
      </c>
      <c r="Q1202">
        <f>IF(OR(ТабПозиции[[#This Row],[item]]="По штрихкоду",ТабПозиции[[#This Row],[item]]="Посылка"),ТабПозиции[[#This Row],[deliverySumm]]+ТабПозиции[[#This Row],[deliveryPost]],SUM(N1202:P1202))</f>
        <v>1178</v>
      </c>
      <c r="R1202" s="41">
        <v>1178</v>
      </c>
      <c r="S1202" s="46">
        <f>ТабПозиции[[#This Row],[totalSumm]]-ТабПозиции[[#This Row],[payment]]</f>
        <v>0</v>
      </c>
      <c r="T1202" s="18" t="s">
        <v>970</v>
      </c>
      <c r="U1202" s="40" t="s">
        <v>545</v>
      </c>
      <c r="V1202" s="40" t="str">
        <f>IF(AND(ТабПозиции[[#This Row],[Остаток]]=0,ТабПозиции[[#This Row],[Заказан]]="Да"),"Да","Нет")</f>
        <v>Да</v>
      </c>
      <c r="W1202" s="40" t="s">
        <v>545</v>
      </c>
      <c r="X1202" s="3"/>
      <c r="Y1202"/>
    </row>
    <row r="1203" spans="1:25" hidden="1" x14ac:dyDescent="0.25">
      <c r="A1203" s="10">
        <v>324</v>
      </c>
      <c r="B1203" s="1">
        <f>IFERROR(VLOOKUP(ТабПозиции[[#This Row],[orderNum]],ТабЗаказы[#Data],MATCH(B$7,ТабЗаказы[#Headers],0),0),"")</f>
        <v>45599</v>
      </c>
      <c r="C1203" t="str">
        <f>MONTH(ТабПозиции[[#This Row],[date]])&amp;"/"&amp;YEAR(ТабПозиции[[#This Row],[date]])</f>
        <v>11/2024</v>
      </c>
      <c r="D1203" s="1" t="str">
        <f>IFERROR(VLOOKUP(ТабПозиции[[#This Row],[orderNum]],ТабЗаказы[#Data],MATCH(D$7,ТабЗаказы[#Headers],0),0),"")</f>
        <v/>
      </c>
      <c r="E1203" s="1" t="str">
        <f>IFERROR(VLOOKUP(ТабПозиции[[#This Row],[orderNum]],ТабЗаказы[#Data],MATCH(E$7,ТабЗаказы[#Headers],0),0),"")</f>
        <v/>
      </c>
      <c r="F1203" s="16" t="s">
        <v>1707</v>
      </c>
      <c r="G1203" s="40" t="s">
        <v>545</v>
      </c>
      <c r="I1203" s="18">
        <v>45604</v>
      </c>
      <c r="J1203" s="10">
        <v>1</v>
      </c>
      <c r="K1203" s="10">
        <v>145</v>
      </c>
      <c r="L1203">
        <f>ТабПозиции[[#This Row],[discountPrice]]*ТабПозиции[[#This Row],[quantity]]</f>
        <v>145</v>
      </c>
      <c r="M1203" s="10">
        <v>153</v>
      </c>
      <c r="N1203">
        <f t="shared" si="23"/>
        <v>153</v>
      </c>
      <c r="P12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Row],[orderNum]],ТабПозиции[orderSumm])&gt;1500),ABS(N1203*VLOOKUP(ТабПозиции[[#This Row],[orderNum]],ТабЗаказы[#Data],MATCH("Percent",ТабЗаказы[#Headers],0),0))/100,200/COUNTIF(ТабПозиции[orderNum],ТабПозиции[[#This Row],[orderNum]])),0),"")</f>
        <v>15</v>
      </c>
      <c r="Q1203">
        <f>IF(OR(ТабПозиции[[#This Row],[item]]="По штрихкоду",ТабПозиции[[#This Row],[item]]="Посылка"),ТабПозиции[[#This Row],[deliverySumm]]+ТабПозиции[[#This Row],[deliveryPost]],SUM(N1203:P1203))</f>
        <v>168</v>
      </c>
      <c r="R1203" s="41">
        <v>168</v>
      </c>
      <c r="S1203" s="46">
        <f>ТабПозиции[[#This Row],[totalSumm]]-ТабПозиции[[#This Row],[payment]]</f>
        <v>0</v>
      </c>
      <c r="T1203" s="18" t="s">
        <v>970</v>
      </c>
      <c r="U1203" s="40" t="s">
        <v>545</v>
      </c>
      <c r="V1203" s="40" t="str">
        <f>IF(AND(ТабПозиции[[#This Row],[Остаток]]=0,ТабПозиции[[#This Row],[Заказан]]="Да"),"Да","Нет")</f>
        <v>Да</v>
      </c>
      <c r="W1203" s="40" t="s">
        <v>545</v>
      </c>
      <c r="X1203" s="3"/>
      <c r="Y1203"/>
    </row>
    <row r="1204" spans="1:25" hidden="1" x14ac:dyDescent="0.25">
      <c r="A1204" s="10">
        <v>324</v>
      </c>
      <c r="B1204" s="1">
        <f>IFERROR(VLOOKUP(ТабПозиции[[#This Row],[orderNum]],ТабЗаказы[#Data],MATCH(B$7,ТабЗаказы[#Headers],0),0),"")</f>
        <v>45599</v>
      </c>
      <c r="C1204" t="str">
        <f>MONTH(ТабПозиции[[#This Row],[date]])&amp;"/"&amp;YEAR(ТабПозиции[[#This Row],[date]])</f>
        <v>11/2024</v>
      </c>
      <c r="D1204" s="1" t="str">
        <f>IFERROR(VLOOKUP(ТабПозиции[[#This Row],[orderNum]],ТабЗаказы[#Data],MATCH(D$7,ТабЗаказы[#Headers],0),0),"")</f>
        <v/>
      </c>
      <c r="E1204" s="1" t="str">
        <f>IFERROR(VLOOKUP(ТабПозиции[[#This Row],[orderNum]],ТабЗаказы[#Data],MATCH(E$7,ТабЗаказы[#Headers],0),0),"")</f>
        <v/>
      </c>
      <c r="F1204" s="16" t="s">
        <v>1708</v>
      </c>
      <c r="G1204" s="40" t="s">
        <v>545</v>
      </c>
      <c r="I1204" s="18">
        <v>45601</v>
      </c>
      <c r="J1204" s="10">
        <v>1</v>
      </c>
      <c r="K1204" s="10">
        <v>147</v>
      </c>
      <c r="L1204">
        <f>ТабПозиции[[#This Row],[discountPrice]]*ТабПозиции[[#This Row],[quantity]]</f>
        <v>147</v>
      </c>
      <c r="M1204" s="10">
        <v>155</v>
      </c>
      <c r="N1204">
        <f t="shared" si="23"/>
        <v>155</v>
      </c>
      <c r="P12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Row],[orderNum]],ТабПозиции[orderSumm])&gt;1500),ABS(N1204*VLOOKUP(ТабПозиции[[#This Row],[orderNum]],ТабЗаказы[#Data],MATCH("Percent",ТабЗаказы[#Headers],0),0))/100,200/COUNTIF(ТабПозиции[orderNum],ТабПозиции[[#This Row],[orderNum]])),0),"")</f>
        <v>16</v>
      </c>
      <c r="Q1204">
        <f>IF(OR(ТабПозиции[[#This Row],[item]]="По штрихкоду",ТабПозиции[[#This Row],[item]]="Посылка"),ТабПозиции[[#This Row],[deliverySumm]]+ТабПозиции[[#This Row],[deliveryPost]],SUM(N1204:P1204))</f>
        <v>171</v>
      </c>
      <c r="R1204" s="41">
        <v>171</v>
      </c>
      <c r="S1204" s="46">
        <f>ТабПозиции[[#This Row],[totalSumm]]-ТабПозиции[[#This Row],[payment]]</f>
        <v>0</v>
      </c>
      <c r="T1204" s="18" t="s">
        <v>970</v>
      </c>
      <c r="U1204" s="40" t="s">
        <v>545</v>
      </c>
      <c r="V1204" s="40" t="s">
        <v>545</v>
      </c>
      <c r="W1204" s="40" t="s">
        <v>545</v>
      </c>
      <c r="X1204" s="3"/>
      <c r="Y1204"/>
    </row>
    <row r="1205" spans="1:25" hidden="1" x14ac:dyDescent="0.25">
      <c r="A1205" s="10">
        <v>324</v>
      </c>
      <c r="B1205" s="1">
        <f>IFERROR(VLOOKUP(ТабПозиции[[#This Row],[orderNum]],ТабЗаказы[#Data],MATCH(B$7,ТабЗаказы[#Headers],0),0),"")</f>
        <v>45599</v>
      </c>
      <c r="C1205" t="str">
        <f>MONTH(ТабПозиции[[#This Row],[date]])&amp;"/"&amp;YEAR(ТабПозиции[[#This Row],[date]])</f>
        <v>11/2024</v>
      </c>
      <c r="D1205" s="1" t="str">
        <f>IFERROR(VLOOKUP(ТабПозиции[[#This Row],[orderNum]],ТабЗаказы[#Data],MATCH(D$7,ТабЗаказы[#Headers],0),0),"")</f>
        <v/>
      </c>
      <c r="E1205" s="1" t="str">
        <f>IFERROR(VLOOKUP(ТабПозиции[[#This Row],[orderNum]],ТабЗаказы[#Data],MATCH(E$7,ТабЗаказы[#Headers],0),0),"")</f>
        <v/>
      </c>
      <c r="F1205" s="16" t="s">
        <v>1709</v>
      </c>
      <c r="G1205" s="40" t="s">
        <v>545</v>
      </c>
      <c r="I1205" s="18">
        <v>45603</v>
      </c>
      <c r="J1205" s="10">
        <v>1</v>
      </c>
      <c r="K1205" s="10">
        <v>69</v>
      </c>
      <c r="L1205">
        <f>ТабПозиции[[#This Row],[discountPrice]]*ТабПозиции[[#This Row],[quantity]]</f>
        <v>69</v>
      </c>
      <c r="M1205" s="10">
        <v>73</v>
      </c>
      <c r="N1205">
        <f t="shared" si="23"/>
        <v>73</v>
      </c>
      <c r="P12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Row],[orderNum]],ТабПозиции[orderSumm])&gt;1500),ABS(N1205*VLOOKUP(ТабПозиции[[#This Row],[orderNum]],ТабЗаказы[#Data],MATCH("Percent",ТабЗаказы[#Headers],0),0))/100,200/COUNTIF(ТабПозиции[orderNum],ТабПозиции[[#This Row],[orderNum]])),0),"")</f>
        <v>7</v>
      </c>
      <c r="Q1205">
        <f>IF(OR(ТабПозиции[[#This Row],[item]]="По штрихкоду",ТабПозиции[[#This Row],[item]]="Посылка"),ТабПозиции[[#This Row],[deliverySumm]]+ТабПозиции[[#This Row],[deliveryPost]],SUM(N1205:P1205))</f>
        <v>80</v>
      </c>
      <c r="R1205" s="41">
        <v>80</v>
      </c>
      <c r="S1205" s="46">
        <f>ТабПозиции[[#This Row],[totalSumm]]-ТабПозиции[[#This Row],[payment]]</f>
        <v>0</v>
      </c>
      <c r="T1205" s="18" t="s">
        <v>970</v>
      </c>
      <c r="U1205" s="40" t="s">
        <v>545</v>
      </c>
      <c r="V1205" s="40" t="s">
        <v>545</v>
      </c>
      <c r="W1205" s="40" t="s">
        <v>545</v>
      </c>
      <c r="X1205" s="3"/>
      <c r="Y1205"/>
    </row>
    <row r="1206" spans="1:25" hidden="1" x14ac:dyDescent="0.25">
      <c r="A1206" s="10">
        <v>324</v>
      </c>
      <c r="B1206" s="1">
        <f>IFERROR(VLOOKUP(ТабПозиции[[#This Row],[orderNum]],ТабЗаказы[#Data],MATCH(B$7,ТабЗаказы[#Headers],0),0),"")</f>
        <v>45599</v>
      </c>
      <c r="C1206" t="str">
        <f>MONTH(ТабПозиции[[#This Row],[date]])&amp;"/"&amp;YEAR(ТабПозиции[[#This Row],[date]])</f>
        <v>11/2024</v>
      </c>
      <c r="D1206" s="1" t="str">
        <f>IFERROR(VLOOKUP(ТабПозиции[[#This Row],[orderNum]],ТабЗаказы[#Data],MATCH(D$7,ТабЗаказы[#Headers],0),0),"")</f>
        <v/>
      </c>
      <c r="E1206" s="1" t="str">
        <f>IFERROR(VLOOKUP(ТабПозиции[[#This Row],[orderNum]],ТабЗаказы[#Data],MATCH(E$7,ТабЗаказы[#Headers],0),0),"")</f>
        <v/>
      </c>
      <c r="F1206" s="16" t="s">
        <v>1710</v>
      </c>
      <c r="G1206" s="40" t="s">
        <v>545</v>
      </c>
      <c r="I1206" s="18">
        <v>45601</v>
      </c>
      <c r="J1206" s="10">
        <v>1</v>
      </c>
      <c r="K1206" s="10">
        <v>267</v>
      </c>
      <c r="L1206">
        <f>ТабПозиции[[#This Row],[discountPrice]]*ТабПозиции[[#This Row],[quantity]]</f>
        <v>267</v>
      </c>
      <c r="M1206" s="10">
        <v>282</v>
      </c>
      <c r="N1206">
        <f t="shared" si="23"/>
        <v>282</v>
      </c>
      <c r="P12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Row],[orderNum]],ТабПозиции[orderSumm])&gt;1500),ABS(N1206*VLOOKUP(ТабПозиции[[#This Row],[orderNum]],ТабЗаказы[#Data],MATCH("Percent",ТабЗаказы[#Headers],0),0))/100,200/COUNTIF(ТабПозиции[orderNum],ТабПозиции[[#This Row],[orderNum]])),0),"")</f>
        <v>28</v>
      </c>
      <c r="Q1206">
        <f>IF(OR(ТабПозиции[[#This Row],[item]]="По штрихкоду",ТабПозиции[[#This Row],[item]]="Посылка"),ТабПозиции[[#This Row],[deliverySumm]]+ТабПозиции[[#This Row],[deliveryPost]],SUM(N1206:P1206))</f>
        <v>310</v>
      </c>
      <c r="R1206" s="41">
        <v>310</v>
      </c>
      <c r="S1206" s="46">
        <f>ТабПозиции[[#This Row],[totalSumm]]-ТабПозиции[[#This Row],[payment]]</f>
        <v>0</v>
      </c>
      <c r="T1206" s="18" t="s">
        <v>970</v>
      </c>
      <c r="U1206" s="40" t="s">
        <v>545</v>
      </c>
      <c r="V1206" s="40" t="s">
        <v>545</v>
      </c>
      <c r="W1206" s="40" t="s">
        <v>545</v>
      </c>
      <c r="X1206" s="3"/>
      <c r="Y1206"/>
    </row>
    <row r="1207" spans="1:25" hidden="1" x14ac:dyDescent="0.25">
      <c r="A1207" s="10">
        <v>324</v>
      </c>
      <c r="B1207" s="1">
        <f>IFERROR(VLOOKUP(ТабПозиции[[#This Row],[orderNum]],ТабЗаказы[#Data],MATCH(B$7,ТабЗаказы[#Headers],0),0),"")</f>
        <v>45599</v>
      </c>
      <c r="C1207" t="str">
        <f>MONTH(ТабПозиции[[#This Row],[date]])&amp;"/"&amp;YEAR(ТабПозиции[[#This Row],[date]])</f>
        <v>11/2024</v>
      </c>
      <c r="D1207" s="1" t="str">
        <f>IFERROR(VLOOKUP(ТабПозиции[[#This Row],[orderNum]],ТабЗаказы[#Data],MATCH(D$7,ТабЗаказы[#Headers],0),0),"")</f>
        <v/>
      </c>
      <c r="E1207" s="1" t="str">
        <f>IFERROR(VLOOKUP(ТабПозиции[[#This Row],[orderNum]],ТабЗаказы[#Data],MATCH(E$7,ТабЗаказы[#Headers],0),0),"")</f>
        <v/>
      </c>
      <c r="F1207" s="16" t="s">
        <v>1711</v>
      </c>
      <c r="G1207" s="40" t="s">
        <v>545</v>
      </c>
      <c r="I1207" s="18">
        <v>45601</v>
      </c>
      <c r="J1207" s="10">
        <v>1</v>
      </c>
      <c r="K1207" s="10">
        <v>267</v>
      </c>
      <c r="L1207">
        <f>ТабПозиции[[#This Row],[discountPrice]]*ТабПозиции[[#This Row],[quantity]]</f>
        <v>267</v>
      </c>
      <c r="M1207" s="10">
        <v>282</v>
      </c>
      <c r="N1207">
        <f t="shared" si="23"/>
        <v>282</v>
      </c>
      <c r="P12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Row],[orderNum]],ТабПозиции[orderSumm])&gt;1500),ABS(N1207*VLOOKUP(ТабПозиции[[#This Row],[orderNum]],ТабЗаказы[#Data],MATCH("Percent",ТабЗаказы[#Headers],0),0))/100,200/COUNTIF(ТабПозиции[orderNum],ТабПозиции[[#This Row],[orderNum]])),0),"")</f>
        <v>28</v>
      </c>
      <c r="Q1207">
        <f>IF(OR(ТабПозиции[[#This Row],[item]]="По штрихкоду",ТабПозиции[[#This Row],[item]]="Посылка"),ТабПозиции[[#This Row],[deliverySumm]]+ТабПозиции[[#This Row],[deliveryPost]],SUM(N1207:P1207))</f>
        <v>310</v>
      </c>
      <c r="R1207" s="41">
        <v>310</v>
      </c>
      <c r="S1207" s="46">
        <f>ТабПозиции[[#This Row],[totalSumm]]-ТабПозиции[[#This Row],[payment]]</f>
        <v>0</v>
      </c>
      <c r="T1207" s="18" t="s">
        <v>970</v>
      </c>
      <c r="U1207" s="40" t="s">
        <v>545</v>
      </c>
      <c r="V1207" s="40" t="s">
        <v>545</v>
      </c>
      <c r="W1207" s="40" t="s">
        <v>545</v>
      </c>
      <c r="X1207" s="3"/>
      <c r="Y1207"/>
    </row>
    <row r="1208" spans="1:25" hidden="1" x14ac:dyDescent="0.25">
      <c r="A1208" s="10">
        <v>324</v>
      </c>
      <c r="B1208" s="1">
        <f>IFERROR(VLOOKUP(ТабПозиции[[#This Row],[orderNum]],ТабЗаказы[#Data],MATCH(B$7,ТабЗаказы[#Headers],0),0),"")</f>
        <v>45599</v>
      </c>
      <c r="C1208" t="str">
        <f>MONTH(ТабПозиции[[#This Row],[date]])&amp;"/"&amp;YEAR(ТабПозиции[[#This Row],[date]])</f>
        <v>11/2024</v>
      </c>
      <c r="D1208" s="1" t="str">
        <f>IFERROR(VLOOKUP(ТабПозиции[[#This Row],[orderNum]],ТабЗаказы[#Data],MATCH(D$7,ТабЗаказы[#Headers],0),0),"")</f>
        <v/>
      </c>
      <c r="E1208" s="1" t="str">
        <f>IFERROR(VLOOKUP(ТабПозиции[[#This Row],[orderNum]],ТабЗаказы[#Data],MATCH(E$7,ТабЗаказы[#Headers],0),0),"")</f>
        <v/>
      </c>
      <c r="F1208" s="16" t="s">
        <v>1712</v>
      </c>
      <c r="G1208" s="40" t="s">
        <v>545</v>
      </c>
      <c r="I1208" s="18">
        <v>45603</v>
      </c>
      <c r="J1208" s="10">
        <v>1</v>
      </c>
      <c r="K1208" s="10">
        <v>222</v>
      </c>
      <c r="L1208">
        <f>ТабПозиции[[#This Row],[discountPrice]]*ТабПозиции[[#This Row],[quantity]]</f>
        <v>222</v>
      </c>
      <c r="M1208" s="10">
        <v>234</v>
      </c>
      <c r="N1208">
        <f t="shared" si="23"/>
        <v>234</v>
      </c>
      <c r="P12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Row],[orderNum]],ТабПозиции[orderSumm])&gt;1500),ABS(N1208*VLOOKUP(ТабПозиции[[#This Row],[orderNum]],ТабЗаказы[#Data],MATCH("Percent",ТабЗаказы[#Headers],0),0))/100,200/COUNTIF(ТабПозиции[orderNum],ТабПозиции[[#This Row],[orderNum]])),0),"")</f>
        <v>23</v>
      </c>
      <c r="Q1208">
        <f>IF(OR(ТабПозиции[[#This Row],[item]]="По штрихкоду",ТабПозиции[[#This Row],[item]]="Посылка"),ТабПозиции[[#This Row],[deliverySumm]]+ТабПозиции[[#This Row],[deliveryPost]],SUM(N1208:P1208))</f>
        <v>257</v>
      </c>
      <c r="R1208" s="41">
        <v>257</v>
      </c>
      <c r="S1208" s="46">
        <f>ТабПозиции[[#This Row],[totalSumm]]-ТабПозиции[[#This Row],[payment]]</f>
        <v>0</v>
      </c>
      <c r="T1208" s="18" t="s">
        <v>970</v>
      </c>
      <c r="U1208" s="40" t="s">
        <v>545</v>
      </c>
      <c r="V1208" s="40" t="s">
        <v>545</v>
      </c>
      <c r="W1208" s="40" t="s">
        <v>545</v>
      </c>
      <c r="X1208" s="3"/>
      <c r="Y1208"/>
    </row>
    <row r="1209" spans="1:25" hidden="1" x14ac:dyDescent="0.25">
      <c r="A1209" s="10">
        <v>323</v>
      </c>
      <c r="B1209" s="1">
        <f>IFERROR(VLOOKUP(ТабПозиции[[#This Row],[orderNum]],ТабЗаказы[#Data],MATCH(B$7,ТабЗаказы[#Headers],0),0),"")</f>
        <v>45598</v>
      </c>
      <c r="C1209" t="str">
        <f>MONTH(ТабПозиции[[#This Row],[date]])&amp;"/"&amp;YEAR(ТабПозиции[[#This Row],[date]])</f>
        <v>11/2024</v>
      </c>
      <c r="D1209" s="1" t="str">
        <f>IFERROR(VLOOKUP(ТабПозиции[[#This Row],[orderNum]],ТабЗаказы[#Data],MATCH(D$7,ТабЗаказы[#Headers],0),0),"")</f>
        <v/>
      </c>
      <c r="E1209" s="1" t="str">
        <f>IFERROR(VLOOKUP(ТабПозиции[[#This Row],[orderNum]],ТабЗаказы[#Data],MATCH(E$7,ТабЗаказы[#Headers],0),0),"")</f>
        <v/>
      </c>
      <c r="F1209" s="16" t="s">
        <v>1716</v>
      </c>
      <c r="G1209" s="40" t="s">
        <v>545</v>
      </c>
      <c r="H1209" s="12" t="s">
        <v>1794</v>
      </c>
      <c r="I1209" s="18">
        <v>45605</v>
      </c>
      <c r="J1209" s="10">
        <v>1</v>
      </c>
      <c r="K1209" s="10">
        <v>1894</v>
      </c>
      <c r="L1209">
        <f>ТабПозиции[[#This Row],[discountPrice]]*ТабПозиции[[#This Row],[quantity]]</f>
        <v>1894</v>
      </c>
      <c r="M1209" s="10">
        <v>2038</v>
      </c>
      <c r="N1209">
        <f t="shared" si="23"/>
        <v>2038</v>
      </c>
      <c r="P12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Row],[orderNum]],ТабПозиции[orderSumm])&gt;1500),ABS(N1209*VLOOKUP(ТабПозиции[[#This Row],[orderNum]],ТабЗаказы[#Data],MATCH("Percent",ТабЗаказы[#Headers],0),0))/100,200/COUNTIF(ТабПозиции[orderNum],ТабПозиции[[#This Row],[orderNum]])),0),"")</f>
        <v>204</v>
      </c>
      <c r="Q1209">
        <f>IF(OR(ТабПозиции[[#This Row],[item]]="По штрихкоду",ТабПозиции[[#This Row],[item]]="Посылка"),ТабПозиции[[#This Row],[deliverySumm]]+ТабПозиции[[#This Row],[deliveryPost]],SUM(N1209:P1209))</f>
        <v>2242</v>
      </c>
      <c r="R1209" s="41">
        <v>2242</v>
      </c>
      <c r="S1209" s="46">
        <f>ТабПозиции[[#This Row],[totalSumm]]-ТабПозиции[[#This Row],[payment]]</f>
        <v>0</v>
      </c>
      <c r="T1209" s="18" t="s">
        <v>1021</v>
      </c>
      <c r="U1209" s="40" t="s">
        <v>545</v>
      </c>
      <c r="V1209" s="40" t="str">
        <f>IF(AND(ТабПозиции[[#This Row],[Остаток]]=0,ТабПозиции[[#This Row],[Заказан]]="Да"),"Да","Нет")</f>
        <v>Да</v>
      </c>
      <c r="W1209" s="40" t="s">
        <v>545</v>
      </c>
      <c r="X1209" s="3"/>
      <c r="Y1209"/>
    </row>
    <row r="1210" spans="1:25" hidden="1" x14ac:dyDescent="0.25">
      <c r="A1210" s="10">
        <v>323</v>
      </c>
      <c r="B1210" s="1">
        <f>IFERROR(VLOOKUP(ТабПозиции[[#This Row],[orderNum]],ТабЗаказы[#Data],MATCH(B$7,ТабЗаказы[#Headers],0),0),"")</f>
        <v>45598</v>
      </c>
      <c r="C1210" t="str">
        <f>MONTH(ТабПозиции[[#This Row],[date]])&amp;"/"&amp;YEAR(ТабПозиции[[#This Row],[date]])</f>
        <v>11/2024</v>
      </c>
      <c r="D1210" s="1" t="str">
        <f>IFERROR(VLOOKUP(ТабПозиции[[#This Row],[orderNum]],ТабЗаказы[#Data],MATCH(D$7,ТабЗаказы[#Headers],0),0),"")</f>
        <v/>
      </c>
      <c r="E1210" s="1" t="str">
        <f>IFERROR(VLOOKUP(ТабПозиции[[#This Row],[orderNum]],ТабЗаказы[#Data],MATCH(E$7,ТабЗаказы[#Headers],0),0),"")</f>
        <v/>
      </c>
      <c r="F1210" s="16" t="s">
        <v>1214</v>
      </c>
      <c r="G1210" s="40" t="s">
        <v>545</v>
      </c>
      <c r="I1210" s="18">
        <v>45604</v>
      </c>
      <c r="J1210" s="10">
        <v>1</v>
      </c>
      <c r="K1210" s="10">
        <v>383</v>
      </c>
      <c r="L1210">
        <f>ТабПозиции[[#This Row],[discountPrice]]*ТабПозиции[[#This Row],[quantity]]</f>
        <v>383</v>
      </c>
      <c r="M1210" s="10">
        <v>418</v>
      </c>
      <c r="N1210">
        <f t="shared" si="23"/>
        <v>418</v>
      </c>
      <c r="P12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Row],[orderNum]],ТабПозиции[orderSumm])&gt;1500),ABS(N1210*VLOOKUP(ТабПозиции[[#This Row],[orderNum]],ТабЗаказы[#Data],MATCH("Percent",ТабЗаказы[#Headers],0),0))/100,200/COUNTIF(ТабПозиции[orderNum],ТабПозиции[[#This Row],[orderNum]])),0),"")</f>
        <v>42</v>
      </c>
      <c r="Q1210">
        <f>IF(OR(ТабПозиции[[#This Row],[item]]="По штрихкоду",ТабПозиции[[#This Row],[item]]="Посылка"),ТабПозиции[[#This Row],[deliverySumm]]+ТабПозиции[[#This Row],[deliveryPost]],SUM(N1210:P1210))</f>
        <v>460</v>
      </c>
      <c r="R1210" s="41">
        <v>460</v>
      </c>
      <c r="S1210" s="46">
        <f>ТабПозиции[[#This Row],[totalSumm]]-ТабПозиции[[#This Row],[payment]]</f>
        <v>0</v>
      </c>
      <c r="T1210" s="18" t="s">
        <v>960</v>
      </c>
      <c r="U1210" s="40" t="s">
        <v>545</v>
      </c>
      <c r="V1210" s="40" t="str">
        <f>IF(AND(ТабПозиции[[#This Row],[Остаток]]=0,ТабПозиции[[#This Row],[Заказан]]="Да"),"Да","Нет")</f>
        <v>Да</v>
      </c>
      <c r="W1210" s="40" t="s">
        <v>545</v>
      </c>
      <c r="X1210" s="3"/>
      <c r="Y1210"/>
    </row>
    <row r="1211" spans="1:25" hidden="1" x14ac:dyDescent="0.25">
      <c r="A1211" s="10">
        <v>323</v>
      </c>
      <c r="B1211" s="1">
        <f>IFERROR(VLOOKUP(ТабПозиции[[#This Row],[orderNum]],ТабЗаказы[#Data],MATCH(B$7,ТабЗаказы[#Headers],0),0),"")</f>
        <v>45598</v>
      </c>
      <c r="C1211" t="str">
        <f>MONTH(ТабПозиции[[#This Row],[date]])&amp;"/"&amp;YEAR(ТабПозиции[[#This Row],[date]])</f>
        <v>11/2024</v>
      </c>
      <c r="D1211" s="1" t="str">
        <f>IFERROR(VLOOKUP(ТабПозиции[[#This Row],[orderNum]],ТабЗаказы[#Data],MATCH(D$7,ТабЗаказы[#Headers],0),0),"")</f>
        <v/>
      </c>
      <c r="E1211" s="1" t="str">
        <f>IFERROR(VLOOKUP(ТабПозиции[[#This Row],[orderNum]],ТабЗаказы[#Data],MATCH(E$7,ТабЗаказы[#Headers],0),0),"")</f>
        <v/>
      </c>
      <c r="F1211" s="16" t="s">
        <v>1717</v>
      </c>
      <c r="G1211" s="40" t="s">
        <v>545</v>
      </c>
      <c r="I1211" s="18">
        <v>45602</v>
      </c>
      <c r="J1211" s="10">
        <v>1</v>
      </c>
      <c r="K1211" s="10">
        <v>1943</v>
      </c>
      <c r="L1211">
        <f>ТабПозиции[[#This Row],[discountPrice]]*ТабПозиции[[#This Row],[quantity]]</f>
        <v>1943</v>
      </c>
      <c r="M1211" s="10">
        <v>2111</v>
      </c>
      <c r="N1211">
        <f t="shared" si="23"/>
        <v>2111</v>
      </c>
      <c r="P12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Row],[orderNum]],ТабПозиции[orderSumm])&gt;1500),ABS(N1211*VLOOKUP(ТабПозиции[[#This Row],[orderNum]],ТабЗаказы[#Data],MATCH("Percent",ТабЗаказы[#Headers],0),0))/100,200/COUNTIF(ТабПозиции[orderNum],ТабПозиции[[#This Row],[orderNum]])),0),"")</f>
        <v>211</v>
      </c>
      <c r="Q1211">
        <f>IF(OR(ТабПозиции[[#This Row],[item]]="По штрихкоду",ТабПозиции[[#This Row],[item]]="Посылка"),ТабПозиции[[#This Row],[deliverySumm]]+ТабПозиции[[#This Row],[deliveryPost]],SUM(N1211:P1211))</f>
        <v>2322</v>
      </c>
      <c r="R1211" s="41">
        <v>2322</v>
      </c>
      <c r="S1211" s="46">
        <f>ТабПозиции[[#This Row],[totalSumm]]-ТабПозиции[[#This Row],[payment]]</f>
        <v>0</v>
      </c>
      <c r="T1211" s="18" t="s">
        <v>960</v>
      </c>
      <c r="U1211" s="40" t="s">
        <v>545</v>
      </c>
      <c r="V1211" s="40" t="s">
        <v>545</v>
      </c>
      <c r="W1211" s="40" t="s">
        <v>545</v>
      </c>
      <c r="X1211" s="3"/>
      <c r="Y1211"/>
    </row>
    <row r="1212" spans="1:25" hidden="1" x14ac:dyDescent="0.25">
      <c r="A1212" s="10">
        <v>323</v>
      </c>
      <c r="B1212" s="1">
        <f>IFERROR(VLOOKUP(ТабПозиции[[#This Row],[orderNum]],ТабЗаказы[#Data],MATCH(B$7,ТабЗаказы[#Headers],0),0),"")</f>
        <v>45598</v>
      </c>
      <c r="C1212" t="str">
        <f>MONTH(ТабПозиции[[#This Row],[date]])&amp;"/"&amp;YEAR(ТабПозиции[[#This Row],[date]])</f>
        <v>11/2024</v>
      </c>
      <c r="D1212" s="1" t="str">
        <f>IFERROR(VLOOKUP(ТабПозиции[[#This Row],[orderNum]],ТабЗаказы[#Data],MATCH(D$7,ТабЗаказы[#Headers],0),0),"")</f>
        <v/>
      </c>
      <c r="E1212" s="1" t="str">
        <f>IFERROR(VLOOKUP(ТабПозиции[[#This Row],[orderNum]],ТабЗаказы[#Data],MATCH(E$7,ТабЗаказы[#Headers],0),0),"")</f>
        <v/>
      </c>
      <c r="F1212" s="16" t="s">
        <v>1718</v>
      </c>
      <c r="G1212" s="40" t="s">
        <v>545</v>
      </c>
      <c r="I1212" s="18">
        <v>45602</v>
      </c>
      <c r="J1212" s="10">
        <v>1</v>
      </c>
      <c r="K1212" s="10">
        <v>385</v>
      </c>
      <c r="L1212">
        <f>ТабПозиции[[#This Row],[discountPrice]]*ТабПозиции[[#This Row],[quantity]]</f>
        <v>385</v>
      </c>
      <c r="M1212" s="10">
        <v>416</v>
      </c>
      <c r="N1212">
        <f t="shared" si="23"/>
        <v>416</v>
      </c>
      <c r="P12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Row],[orderNum]],ТабПозиции[orderSumm])&gt;1500),ABS(N1212*VLOOKUP(ТабПозиции[[#This Row],[orderNum]],ТабЗаказы[#Data],MATCH("Percent",ТабЗаказы[#Headers],0),0))/100,200/COUNTIF(ТабПозиции[orderNum],ТабПозиции[[#This Row],[orderNum]])),0),"")</f>
        <v>42</v>
      </c>
      <c r="Q1212">
        <f>IF(OR(ТабПозиции[[#This Row],[item]]="По штрихкоду",ТабПозиции[[#This Row],[item]]="Посылка"),ТабПозиции[[#This Row],[deliverySumm]]+ТабПозиции[[#This Row],[deliveryPost]],SUM(N1212:P1212))</f>
        <v>458</v>
      </c>
      <c r="R1212" s="41">
        <v>458</v>
      </c>
      <c r="S1212" s="46">
        <f>ТабПозиции[[#This Row],[totalSumm]]-ТабПозиции[[#This Row],[payment]]</f>
        <v>0</v>
      </c>
      <c r="T1212" s="18" t="s">
        <v>960</v>
      </c>
      <c r="U1212" s="40" t="s">
        <v>545</v>
      </c>
      <c r="V1212" s="40" t="s">
        <v>545</v>
      </c>
      <c r="W1212" s="40" t="s">
        <v>545</v>
      </c>
      <c r="X1212" s="3"/>
      <c r="Y1212"/>
    </row>
    <row r="1213" spans="1:25" hidden="1" x14ac:dyDescent="0.25">
      <c r="A1213" s="10">
        <v>323</v>
      </c>
      <c r="B1213" s="1">
        <f>IFERROR(VLOOKUP(ТабПозиции[[#This Row],[orderNum]],ТабЗаказы[#Data],MATCH(B$7,ТабЗаказы[#Headers],0),0),"")</f>
        <v>45598</v>
      </c>
      <c r="C1213" t="str">
        <f>MONTH(ТабПозиции[[#This Row],[date]])&amp;"/"&amp;YEAR(ТабПозиции[[#This Row],[date]])</f>
        <v>11/2024</v>
      </c>
      <c r="D1213" s="1" t="str">
        <f>IFERROR(VLOOKUP(ТабПозиции[[#This Row],[orderNum]],ТабЗаказы[#Data],MATCH(D$7,ТабЗаказы[#Headers],0),0),"")</f>
        <v/>
      </c>
      <c r="E1213" s="1" t="str">
        <f>IFERROR(VLOOKUP(ТабПозиции[[#This Row],[orderNum]],ТабЗаказы[#Data],MATCH(E$7,ТабЗаказы[#Headers],0),0),"")</f>
        <v/>
      </c>
      <c r="F1213" s="16" t="s">
        <v>1719</v>
      </c>
      <c r="G1213" s="40" t="s">
        <v>545</v>
      </c>
      <c r="I1213" s="18">
        <v>45605</v>
      </c>
      <c r="J1213" s="10">
        <v>1</v>
      </c>
      <c r="K1213" s="10">
        <v>595</v>
      </c>
      <c r="L1213">
        <f>ТабПозиции[[#This Row],[discountPrice]]*ТабПозиции[[#This Row],[quantity]]</f>
        <v>595</v>
      </c>
      <c r="M1213" s="10">
        <v>638</v>
      </c>
      <c r="N1213">
        <f t="shared" si="23"/>
        <v>638</v>
      </c>
      <c r="P12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Row],[orderNum]],ТабПозиции[orderSumm])&gt;1500),ABS(N1213*VLOOKUP(ТабПозиции[[#This Row],[orderNum]],ТабЗаказы[#Data],MATCH("Percent",ТабЗаказы[#Headers],0),0))/100,200/COUNTIF(ТабПозиции[orderNum],ТабПозиции[[#This Row],[orderNum]])),0),"")</f>
        <v>64</v>
      </c>
      <c r="Q1213">
        <f>IF(OR(ТабПозиции[[#This Row],[item]]="По штрихкоду",ТабПозиции[[#This Row],[item]]="Посылка"),ТабПозиции[[#This Row],[deliverySumm]]+ТабПозиции[[#This Row],[deliveryPost]],SUM(N1213:P1213))</f>
        <v>702</v>
      </c>
      <c r="R1213" s="41">
        <v>702</v>
      </c>
      <c r="S1213" s="46">
        <f>ТабПозиции[[#This Row],[totalSumm]]-ТабПозиции[[#This Row],[payment]]</f>
        <v>0</v>
      </c>
      <c r="T1213" s="18" t="s">
        <v>960</v>
      </c>
      <c r="U1213" s="40" t="s">
        <v>545</v>
      </c>
      <c r="V1213" s="40" t="str">
        <f>IF(AND(ТабПозиции[[#This Row],[Остаток]]=0,ТабПозиции[[#This Row],[Заказан]]="Да"),"Да","Нет")</f>
        <v>Да</v>
      </c>
      <c r="W1213" s="40" t="s">
        <v>545</v>
      </c>
      <c r="X1213" s="3"/>
      <c r="Y1213"/>
    </row>
    <row r="1214" spans="1:25" hidden="1" x14ac:dyDescent="0.25">
      <c r="A1214" s="10">
        <v>323</v>
      </c>
      <c r="B1214" s="1">
        <f>IFERROR(VLOOKUP(ТабПозиции[[#This Row],[orderNum]],ТабЗаказы[#Data],MATCH(B$7,ТабЗаказы[#Headers],0),0),"")</f>
        <v>45598</v>
      </c>
      <c r="C1214" t="str">
        <f>MONTH(ТабПозиции[[#This Row],[date]])&amp;"/"&amp;YEAR(ТабПозиции[[#This Row],[date]])</f>
        <v>11/2024</v>
      </c>
      <c r="D1214" s="1" t="str">
        <f>IFERROR(VLOOKUP(ТабПозиции[[#This Row],[orderNum]],ТабЗаказы[#Data],MATCH(D$7,ТабЗаказы[#Headers],0),0),"")</f>
        <v/>
      </c>
      <c r="E1214" s="1" t="str">
        <f>IFERROR(VLOOKUP(ТабПозиции[[#This Row],[orderNum]],ТабЗаказы[#Data],MATCH(E$7,ТабЗаказы[#Headers],0),0),"")</f>
        <v/>
      </c>
      <c r="F1214" s="16" t="s">
        <v>1720</v>
      </c>
      <c r="G1214" s="40" t="s">
        <v>545</v>
      </c>
      <c r="I1214" s="18">
        <v>45604</v>
      </c>
      <c r="J1214" s="10">
        <v>1</v>
      </c>
      <c r="K1214" s="10">
        <v>532</v>
      </c>
      <c r="L1214">
        <f>ТабПозиции[[#This Row],[discountPrice]]*ТабПозиции[[#This Row],[quantity]]</f>
        <v>532</v>
      </c>
      <c r="M1214" s="10">
        <v>571</v>
      </c>
      <c r="N1214">
        <f t="shared" si="23"/>
        <v>571</v>
      </c>
      <c r="P12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Row],[orderNum]],ТабПозиции[orderSumm])&gt;1500),ABS(N1214*VLOOKUP(ТабПозиции[[#This Row],[orderNum]],ТабЗаказы[#Data],MATCH("Percent",ТабЗаказы[#Headers],0),0))/100,200/COUNTIF(ТабПозиции[orderNum],ТабПозиции[[#This Row],[orderNum]])),0),"")</f>
        <v>57</v>
      </c>
      <c r="Q1214">
        <f>IF(OR(ТабПозиции[[#This Row],[item]]="По штрихкоду",ТабПозиции[[#This Row],[item]]="Посылка"),ТабПозиции[[#This Row],[deliverySumm]]+ТабПозиции[[#This Row],[deliveryPost]],SUM(N1214:P1214))</f>
        <v>628</v>
      </c>
      <c r="R1214" s="41">
        <v>628</v>
      </c>
      <c r="S1214" s="46">
        <f>ТабПозиции[[#This Row],[totalSumm]]-ТабПозиции[[#This Row],[payment]]</f>
        <v>0</v>
      </c>
      <c r="T1214" s="18" t="s">
        <v>960</v>
      </c>
      <c r="U1214" s="40" t="s">
        <v>545</v>
      </c>
      <c r="V1214" s="40" t="str">
        <f>IF(AND(ТабПозиции[[#This Row],[Остаток]]=0,ТабПозиции[[#This Row],[Заказан]]="Да"),"Да","Нет")</f>
        <v>Да</v>
      </c>
      <c r="W1214" s="40" t="s">
        <v>545</v>
      </c>
      <c r="X1214" s="3"/>
      <c r="Y1214"/>
    </row>
    <row r="1215" spans="1:25" hidden="1" x14ac:dyDescent="0.25">
      <c r="A1215" s="10">
        <v>323</v>
      </c>
      <c r="B1215" s="1">
        <f>IFERROR(VLOOKUP(ТабПозиции[[#This Row],[orderNum]],ТабЗаказы[#Data],MATCH(B$7,ТабЗаказы[#Headers],0),0),"")</f>
        <v>45598</v>
      </c>
      <c r="C1215" t="str">
        <f>MONTH(ТабПозиции[[#This Row],[date]])&amp;"/"&amp;YEAR(ТабПозиции[[#This Row],[date]])</f>
        <v>11/2024</v>
      </c>
      <c r="D1215" s="1" t="str">
        <f>IFERROR(VLOOKUP(ТабПозиции[[#This Row],[orderNum]],ТабЗаказы[#Data],MATCH(D$7,ТабЗаказы[#Headers],0),0),"")</f>
        <v/>
      </c>
      <c r="E1215" s="1" t="str">
        <f>IFERROR(VLOOKUP(ТабПозиции[[#This Row],[orderNum]],ТабЗаказы[#Data],MATCH(E$7,ТабЗаказы[#Headers],0),0),"")</f>
        <v/>
      </c>
      <c r="F1215" s="16" t="s">
        <v>1721</v>
      </c>
      <c r="G1215" s="40" t="s">
        <v>545</v>
      </c>
      <c r="I1215" s="18">
        <v>45604</v>
      </c>
      <c r="J1215" s="10">
        <v>1</v>
      </c>
      <c r="K1215" s="10">
        <v>924</v>
      </c>
      <c r="L1215">
        <f>ТабПозиции[[#This Row],[discountPrice]]*ТабПозиции[[#This Row],[quantity]]</f>
        <v>924</v>
      </c>
      <c r="M1215" s="10">
        <v>991</v>
      </c>
      <c r="N1215">
        <f t="shared" si="23"/>
        <v>991</v>
      </c>
      <c r="P12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Row],[orderNum]],ТабПозиции[orderSumm])&gt;1500),ABS(N1215*VLOOKUP(ТабПозиции[[#This Row],[orderNum]],ТабЗаказы[#Data],MATCH("Percent",ТабЗаказы[#Headers],0),0))/100,200/COUNTIF(ТабПозиции[orderNum],ТабПозиции[[#This Row],[orderNum]])),0),"")</f>
        <v>99</v>
      </c>
      <c r="Q1215">
        <f>IF(OR(ТабПозиции[[#This Row],[item]]="По штрихкоду",ТабПозиции[[#This Row],[item]]="Посылка"),ТабПозиции[[#This Row],[deliverySumm]]+ТабПозиции[[#This Row],[deliveryPost]],SUM(N1215:P1215))</f>
        <v>1090</v>
      </c>
      <c r="R1215" s="41">
        <v>1090</v>
      </c>
      <c r="S1215" s="46">
        <f>ТабПозиции[[#This Row],[totalSumm]]-ТабПозиции[[#This Row],[payment]]</f>
        <v>0</v>
      </c>
      <c r="T1215" s="18" t="s">
        <v>960</v>
      </c>
      <c r="U1215" s="40" t="s">
        <v>545</v>
      </c>
      <c r="V1215" s="40" t="s">
        <v>545</v>
      </c>
      <c r="W1215" s="40" t="s">
        <v>545</v>
      </c>
      <c r="X1215" s="3"/>
      <c r="Y1215"/>
    </row>
    <row r="1216" spans="1:25" hidden="1" x14ac:dyDescent="0.25">
      <c r="A1216" s="10">
        <v>327</v>
      </c>
      <c r="B1216" s="1">
        <f>IFERROR(VLOOKUP(ТабПозиции[[#This Row],[orderNum]],ТабЗаказы[#Data],MATCH(B$7,ТабЗаказы[#Headers],0),0),"")</f>
        <v>45604</v>
      </c>
      <c r="C1216" t="str">
        <f>MONTH(ТабПозиции[[#This Row],[date]])&amp;"/"&amp;YEAR(ТабПозиции[[#This Row],[date]])</f>
        <v>11/2024</v>
      </c>
      <c r="D1216" s="1" t="str">
        <f>IFERROR(VLOOKUP(ТабПозиции[[#This Row],[orderNum]],ТабЗаказы[#Data],MATCH(D$7,ТабЗаказы[#Headers],0),0),"")</f>
        <v/>
      </c>
      <c r="E1216" s="1" t="str">
        <f>IFERROR(VLOOKUP(ТабПозиции[[#This Row],[orderNum]],ТабЗаказы[#Data],MATCH(E$7,ТабЗаказы[#Headers],0),0),"")</f>
        <v/>
      </c>
      <c r="F1216" s="10" t="s">
        <v>820</v>
      </c>
      <c r="G1216" s="40" t="s">
        <v>545</v>
      </c>
      <c r="H1216" s="12" t="s">
        <v>1689</v>
      </c>
      <c r="I1216" s="18">
        <v>45604</v>
      </c>
      <c r="J1216" s="10">
        <v>1</v>
      </c>
      <c r="K1216" s="10">
        <v>25600</v>
      </c>
      <c r="L1216">
        <f>ТабПозиции[[#This Row],[discountPrice]]*ТабПозиции[[#This Row],[quantity]]</f>
        <v>25600</v>
      </c>
      <c r="M1216" s="10">
        <v>25600</v>
      </c>
      <c r="N1216">
        <f t="shared" si="23"/>
        <v>25600</v>
      </c>
      <c r="P12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Row],[orderNum]],ТабПозиции[orderSumm])&gt;1500),ABS(N1216*VLOOKUP(ТабПозиции[[#This Row],[orderNum]],ТабЗаказы[#Data],MATCH("Percent",ТабЗаказы[#Headers],0),0))/100,200/COUNTIF(ТабПозиции[orderNum],ТабПозиции[[#This Row],[orderNum]])),0),"")</f>
        <v>2560</v>
      </c>
      <c r="Q1216">
        <f>IF(OR(ТабПозиции[[#This Row],[item]]="По штрихкоду",ТабПозиции[[#This Row],[item]]="Посылка"),ТабПозиции[[#This Row],[deliverySumm]]+ТабПозиции[[#This Row],[deliveryPost]],SUM(N1216:P1216))</f>
        <v>2560</v>
      </c>
      <c r="R1216" s="41">
        <v>2560</v>
      </c>
      <c r="S1216" s="46">
        <f>ТабПозиции[[#This Row],[totalSumm]]-ТабПозиции[[#This Row],[payment]]</f>
        <v>0</v>
      </c>
      <c r="T1216" s="18" t="s">
        <v>1021</v>
      </c>
      <c r="U1216" s="40" t="s">
        <v>545</v>
      </c>
      <c r="V1216" s="40" t="s">
        <v>545</v>
      </c>
      <c r="W1216" s="40" t="s">
        <v>545</v>
      </c>
      <c r="X1216" s="3"/>
      <c r="Y1216"/>
    </row>
    <row r="1217" spans="1:25" hidden="1" x14ac:dyDescent="0.25">
      <c r="A1217" s="10">
        <v>328</v>
      </c>
      <c r="B1217" s="1">
        <f>IFERROR(VLOOKUP(ТабПозиции[[#This Row],[orderNum]],ТабЗаказы[#Data],MATCH(B$7,ТабЗаказы[#Headers],0),0),"")</f>
        <v>45604</v>
      </c>
      <c r="C1217" t="str">
        <f>MONTH(ТабПозиции[[#This Row],[date]])&amp;"/"&amp;YEAR(ТабПозиции[[#This Row],[date]])</f>
        <v>11/2024</v>
      </c>
      <c r="D1217" s="1" t="str">
        <f>IFERROR(VLOOKUP(ТабПозиции[[#This Row],[orderNum]],ТабЗаказы[#Data],MATCH(D$7,ТабЗаказы[#Headers],0),0),"")</f>
        <v/>
      </c>
      <c r="E1217" s="1" t="str">
        <f>IFERROR(VLOOKUP(ТабПозиции[[#This Row],[orderNum]],ТабЗаказы[#Data],MATCH(E$7,ТабЗаказы[#Headers],0),0),"")</f>
        <v/>
      </c>
      <c r="F1217" s="10" t="s">
        <v>820</v>
      </c>
      <c r="G1217" s="40" t="s">
        <v>545</v>
      </c>
      <c r="H1217" s="12" t="s">
        <v>1722</v>
      </c>
      <c r="I1217" s="18">
        <v>45604</v>
      </c>
      <c r="J1217" s="10">
        <v>1</v>
      </c>
      <c r="K1217" s="10">
        <v>15000</v>
      </c>
      <c r="L1217">
        <f>ТабПозиции[[#This Row],[discountPrice]]*ТабПозиции[[#This Row],[quantity]]</f>
        <v>15000</v>
      </c>
      <c r="M1217" s="10">
        <v>15000</v>
      </c>
      <c r="N1217">
        <f t="shared" si="23"/>
        <v>15000</v>
      </c>
      <c r="P12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Row],[orderNum]],ТабПозиции[orderSumm])&gt;1500),ABS(N1217*VLOOKUP(ТабПозиции[[#This Row],[orderNum]],ТабЗаказы[#Data],MATCH("Percent",ТабЗаказы[#Headers],0),0))/100,200/COUNTIF(ТабПозиции[orderNum],ТабПозиции[[#This Row],[orderNum]])),0),"")</f>
        <v>1500</v>
      </c>
      <c r="Q1217">
        <f>IF(OR(ТабПозиции[[#This Row],[item]]="По штрихкоду",ТабПозиции[[#This Row],[item]]="Посылка"),ТабПозиции[[#This Row],[deliverySumm]]+ТабПозиции[[#This Row],[deliveryPost]],SUM(N1217:P1217))</f>
        <v>1500</v>
      </c>
      <c r="R1217" s="41">
        <v>1500</v>
      </c>
      <c r="S1217" s="46">
        <f>ТабПозиции[[#This Row],[totalSumm]]-ТабПозиции[[#This Row],[payment]]</f>
        <v>0</v>
      </c>
      <c r="T1217" s="18" t="s">
        <v>1021</v>
      </c>
      <c r="U1217" s="40" t="s">
        <v>545</v>
      </c>
      <c r="V1217" s="40" t="s">
        <v>545</v>
      </c>
      <c r="W1217" s="40" t="s">
        <v>545</v>
      </c>
      <c r="X1217" s="3"/>
      <c r="Y1217"/>
    </row>
    <row r="1218" spans="1:25" hidden="1" x14ac:dyDescent="0.25">
      <c r="A1218" s="10">
        <v>320</v>
      </c>
      <c r="B1218" s="1">
        <f>IFERROR(VLOOKUP(ТабПозиции[[#This Row],[orderNum]],ТабЗаказы[#Data],MATCH(B$7,ТабЗаказы[#Headers],0),0),"")</f>
        <v>45597</v>
      </c>
      <c r="C1218" t="str">
        <f>MONTH(ТабПозиции[[#This Row],[date]])&amp;"/"&amp;YEAR(ТабПозиции[[#This Row],[date]])</f>
        <v>11/2024</v>
      </c>
      <c r="D1218" s="1" t="str">
        <f>IFERROR(VLOOKUP(ТабПозиции[[#This Row],[orderNum]],ТабЗаказы[#Data],MATCH(D$7,ТабЗаказы[#Headers],0),0),"")</f>
        <v/>
      </c>
      <c r="E1218" s="1" t="str">
        <f>IFERROR(VLOOKUP(ТабПозиции[[#This Row],[orderNum]],ТабЗаказы[#Data],MATCH(E$7,ТабЗаказы[#Headers],0),0),"")</f>
        <v/>
      </c>
      <c r="F1218" s="10" t="s">
        <v>820</v>
      </c>
      <c r="G1218" s="40" t="s">
        <v>545</v>
      </c>
      <c r="H1218" s="28" t="s">
        <v>1726</v>
      </c>
      <c r="I1218" s="18">
        <v>45609</v>
      </c>
      <c r="J1218" s="10">
        <v>1</v>
      </c>
      <c r="K1218" s="10">
        <v>35000</v>
      </c>
      <c r="L1218">
        <f>ТабПозиции[[#This Row],[discountPrice]]*ТабПозиции[[#This Row],[quantity]]</f>
        <v>35000</v>
      </c>
      <c r="M1218" s="10">
        <v>35000</v>
      </c>
      <c r="N1218">
        <f t="shared" si="23"/>
        <v>35000</v>
      </c>
      <c r="P12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Row],[orderNum]],ТабПозиции[orderSumm])&gt;1500),ABS(N1218*VLOOKUP(ТабПозиции[[#This Row],[orderNum]],ТабЗаказы[#Data],MATCH("Percent",ТабЗаказы[#Headers],0),0))/100,200/COUNTIF(ТабПозиции[orderNum],ТабПозиции[[#This Row],[orderNum]])),0),"")</f>
        <v>3500</v>
      </c>
      <c r="Q1218">
        <f>IF(OR(ТабПозиции[[#This Row],[item]]="По штрихкоду",ТабПозиции[[#This Row],[item]]="Посылка"),ТабПозиции[[#This Row],[deliverySumm]]+ТабПозиции[[#This Row],[deliveryPost]],SUM(N1218:P1218))</f>
        <v>3500</v>
      </c>
      <c r="R1218" s="41">
        <v>3500</v>
      </c>
      <c r="S1218" s="46">
        <f>ТабПозиции[[#This Row],[totalSumm]]-ТабПозиции[[#This Row],[payment]]</f>
        <v>0</v>
      </c>
      <c r="T1218" s="18" t="s">
        <v>1021</v>
      </c>
      <c r="U1218" s="40" t="s">
        <v>545</v>
      </c>
      <c r="V1218" s="40" t="str">
        <f>IF(AND(ТабПозиции[[#This Row],[Остаток]]=0,ТабПозиции[[#This Row],[Заказан]]="Да"),"Да","Нет")</f>
        <v>Да</v>
      </c>
      <c r="W1218" s="40" t="s">
        <v>545</v>
      </c>
      <c r="X1218" s="3"/>
      <c r="Y1218"/>
    </row>
    <row r="1219" spans="1:25" hidden="1" x14ac:dyDescent="0.25">
      <c r="A1219" s="10">
        <v>320</v>
      </c>
      <c r="B1219" s="1">
        <f>IFERROR(VLOOKUP(ТабПозиции[[#This Row],[orderNum]],ТабЗаказы[#Data],MATCH(B$7,ТабЗаказы[#Headers],0),0),"")</f>
        <v>45597</v>
      </c>
      <c r="C1219" t="str">
        <f>MONTH(ТабПозиции[[#This Row],[date]])&amp;"/"&amp;YEAR(ТабПозиции[[#This Row],[date]])</f>
        <v>11/2024</v>
      </c>
      <c r="D1219" s="1" t="str">
        <f>IFERROR(VLOOKUP(ТабПозиции[[#This Row],[orderNum]],ТабЗаказы[#Data],MATCH(D$7,ТабЗаказы[#Headers],0),0),"")</f>
        <v/>
      </c>
      <c r="E1219" s="1" t="str">
        <f>IFERROR(VLOOKUP(ТабПозиции[[#This Row],[orderNum]],ТабЗаказы[#Data],MATCH(E$7,ТабЗаказы[#Headers],0),0),"")</f>
        <v/>
      </c>
      <c r="F1219" s="10" t="s">
        <v>820</v>
      </c>
      <c r="G1219" s="40" t="s">
        <v>545</v>
      </c>
      <c r="H1219" s="12" t="s">
        <v>1727</v>
      </c>
      <c r="I1219" s="18">
        <v>45604</v>
      </c>
      <c r="J1219" s="10">
        <v>1</v>
      </c>
      <c r="K1219" s="10">
        <f>9300-530</f>
        <v>8770</v>
      </c>
      <c r="L1219">
        <f>ТабПозиции[[#This Row],[discountPrice]]*ТабПозиции[[#This Row],[quantity]]</f>
        <v>8770</v>
      </c>
      <c r="M1219" s="10">
        <f>9300-530</f>
        <v>8770</v>
      </c>
      <c r="N1219">
        <f t="shared" si="23"/>
        <v>8770</v>
      </c>
      <c r="P12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Row],[orderNum]],ТабПозиции[orderSumm])&gt;1500),ABS(N1219*VLOOKUP(ТабПозиции[[#This Row],[orderNum]],ТабЗаказы[#Data],MATCH("Percent",ТабЗаказы[#Headers],0),0))/100,200/COUNTIF(ТабПозиции[orderNum],ТабПозиции[[#This Row],[orderNum]])),0),"")</f>
        <v>877</v>
      </c>
      <c r="Q1219">
        <f>IF(OR(ТабПозиции[[#This Row],[item]]="По штрихкоду",ТабПозиции[[#This Row],[item]]="Посылка"),ТабПозиции[[#This Row],[deliverySumm]]+ТабПозиции[[#This Row],[deliveryPost]],SUM(N1219:P1219))</f>
        <v>877</v>
      </c>
      <c r="R1219" s="41">
        <v>877</v>
      </c>
      <c r="S1219" s="46">
        <f>ТабПозиции[[#This Row],[totalSumm]]-ТабПозиции[[#This Row],[payment]]</f>
        <v>0</v>
      </c>
      <c r="T1219" s="18" t="s">
        <v>1021</v>
      </c>
      <c r="U1219" s="40" t="s">
        <v>545</v>
      </c>
      <c r="V1219" s="40" t="s">
        <v>545</v>
      </c>
      <c r="W1219" s="40" t="s">
        <v>545</v>
      </c>
      <c r="X1219" s="3"/>
      <c r="Y1219"/>
    </row>
    <row r="1220" spans="1:25" hidden="1" x14ac:dyDescent="0.25">
      <c r="A1220" s="10">
        <v>320</v>
      </c>
      <c r="B1220" s="1">
        <f>IFERROR(VLOOKUP(ТабПозиции[[#This Row],[orderNum]],ТабЗаказы[#Data],MATCH(B$7,ТабЗаказы[#Headers],0),0),"")</f>
        <v>45597</v>
      </c>
      <c r="C1220" t="str">
        <f>MONTH(ТабПозиции[[#This Row],[date]])&amp;"/"&amp;YEAR(ТабПозиции[[#This Row],[date]])</f>
        <v>11/2024</v>
      </c>
      <c r="D1220" s="1" t="str">
        <f>IFERROR(VLOOKUP(ТабПозиции[[#This Row],[orderNum]],ТабЗаказы[#Data],MATCH(D$7,ТабЗаказы[#Headers],0),0),"")</f>
        <v/>
      </c>
      <c r="E1220" s="1" t="str">
        <f>IFERROR(VLOOKUP(ТабПозиции[[#This Row],[orderNum]],ТабЗаказы[#Data],MATCH(E$7,ТабЗаказы[#Headers],0),0),"")</f>
        <v/>
      </c>
      <c r="F1220" s="10" t="s">
        <v>820</v>
      </c>
      <c r="G1220" s="40" t="s">
        <v>545</v>
      </c>
      <c r="H1220" s="12" t="s">
        <v>1728</v>
      </c>
      <c r="I1220" s="18">
        <v>45604</v>
      </c>
      <c r="J1220" s="10">
        <v>1</v>
      </c>
      <c r="K1220" s="10">
        <f>9000</f>
        <v>9000</v>
      </c>
      <c r="L1220">
        <f>ТабПозиции[[#This Row],[discountPrice]]*ТабПозиции[[#This Row],[quantity]]</f>
        <v>9000</v>
      </c>
      <c r="M1220" s="10">
        <f>9000</f>
        <v>9000</v>
      </c>
      <c r="N1220">
        <f t="shared" si="23"/>
        <v>9000</v>
      </c>
      <c r="P12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Row],[orderNum]],ТабПозиции[orderSumm])&gt;1500),ABS(N1220*VLOOKUP(ТабПозиции[[#This Row],[orderNum]],ТабЗаказы[#Data],MATCH("Percent",ТабЗаказы[#Headers],0),0))/100,200/COUNTIF(ТабПозиции[orderNum],ТабПозиции[[#This Row],[orderNum]])),0),"")</f>
        <v>900</v>
      </c>
      <c r="Q1220">
        <f>IF(OR(ТабПозиции[[#This Row],[item]]="По штрихкоду",ТабПозиции[[#This Row],[item]]="Посылка"),ТабПозиции[[#This Row],[deliverySumm]]+ТабПозиции[[#This Row],[deliveryPost]],SUM(N1220:P1220))</f>
        <v>900</v>
      </c>
      <c r="R1220" s="41">
        <v>900</v>
      </c>
      <c r="S1220" s="46">
        <f>ТабПозиции[[#This Row],[totalSumm]]-ТабПозиции[[#This Row],[payment]]</f>
        <v>0</v>
      </c>
      <c r="T1220" s="18" t="s">
        <v>1021</v>
      </c>
      <c r="U1220" s="40" t="s">
        <v>545</v>
      </c>
      <c r="V1220" s="40" t="s">
        <v>545</v>
      </c>
      <c r="W1220" s="40" t="s">
        <v>545</v>
      </c>
      <c r="X1220" s="3"/>
      <c r="Y1220"/>
    </row>
    <row r="1221" spans="1:25" hidden="1" x14ac:dyDescent="0.25">
      <c r="A1221" s="10">
        <v>333</v>
      </c>
      <c r="B1221" s="1">
        <f>IFERROR(VLOOKUP(ТабПозиции[[#This Row],[orderNum]],ТабЗаказы[#Data],MATCH(B$7,ТабЗаказы[#Headers],0),0),"")</f>
        <v>45604</v>
      </c>
      <c r="C1221" t="str">
        <f>MONTH(ТабПозиции[[#This Row],[date]])&amp;"/"&amp;YEAR(ТабПозиции[[#This Row],[date]])</f>
        <v>11/2024</v>
      </c>
      <c r="D1221" s="1" t="str">
        <f>IFERROR(VLOOKUP(ТабПозиции[[#This Row],[orderNum]],ТабЗаказы[#Data],MATCH(D$7,ТабЗаказы[#Headers],0),0),"")</f>
        <v/>
      </c>
      <c r="E1221" s="1" t="str">
        <f>IFERROR(VLOOKUP(ТабПозиции[[#This Row],[orderNum]],ТабЗаказы[#Data],MATCH(E$7,ТабЗаказы[#Headers],0),0),"")</f>
        <v/>
      </c>
      <c r="F1221" s="16" t="s">
        <v>1729</v>
      </c>
      <c r="G1221" s="40" t="s">
        <v>545</v>
      </c>
      <c r="I1221" s="18">
        <v>45604</v>
      </c>
      <c r="J1221" s="10">
        <v>1</v>
      </c>
      <c r="K1221" s="10">
        <v>3698</v>
      </c>
      <c r="L1221">
        <v>3698</v>
      </c>
      <c r="M1221" s="10">
        <v>3893</v>
      </c>
      <c r="N1221">
        <f t="shared" si="23"/>
        <v>3893</v>
      </c>
      <c r="P12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Row],[orderNum]],ТабПозиции[orderSumm])&gt;1500),ABS(N1221*VLOOKUP(ТабПозиции[[#This Row],[orderNum]],ТабЗаказы[#Data],MATCH("Percent",ТабЗаказы[#Headers],0),0))/100,200/COUNTIF(ТабПозиции[orderNum],ТабПозиции[[#This Row],[orderNum]])),0),"")</f>
        <v>389</v>
      </c>
      <c r="Q1221">
        <f>IF(OR(ТабПозиции[[#This Row],[item]]="По штрихкоду",ТабПозиции[[#This Row],[item]]="Посылка"),ТабПозиции[[#This Row],[deliverySumm]]+ТабПозиции[[#This Row],[deliveryPost]],SUM(N1221:P1221))</f>
        <v>4282</v>
      </c>
      <c r="S1221" s="46">
        <f>ТабПозиции[[#This Row],[totalSumm]]-ТабПозиции[[#This Row],[payment]]</f>
        <v>4282</v>
      </c>
      <c r="T1221" s="18" t="s">
        <v>970</v>
      </c>
      <c r="U1221" s="40" t="s">
        <v>545</v>
      </c>
      <c r="V1221" s="40" t="s">
        <v>545</v>
      </c>
      <c r="W1221" s="40" t="s">
        <v>545</v>
      </c>
      <c r="X1221" s="3"/>
      <c r="Y1221"/>
    </row>
    <row r="1222" spans="1:25" hidden="1" x14ac:dyDescent="0.25">
      <c r="A1222" s="10">
        <v>333</v>
      </c>
      <c r="B1222" s="1">
        <f>IFERROR(VLOOKUP(ТабПозиции[[#This Row],[orderNum]],ТабЗаказы[#Data],MATCH(B$7,ТабЗаказы[#Headers],0),0),"")</f>
        <v>45604</v>
      </c>
      <c r="C1222" t="str">
        <f>MONTH(ТабПозиции[[#This Row],[date]])&amp;"/"&amp;YEAR(ТабПозиции[[#This Row],[date]])</f>
        <v>11/2024</v>
      </c>
      <c r="D1222" s="1" t="str">
        <f>IFERROR(VLOOKUP(ТабПозиции[[#This Row],[orderNum]],ТабЗаказы[#Data],MATCH(D$7,ТабЗаказы[#Headers],0),0),"")</f>
        <v/>
      </c>
      <c r="E1222" s="1" t="str">
        <f>IFERROR(VLOOKUP(ТабПозиции[[#This Row],[orderNum]],ТабЗаказы[#Data],MATCH(E$7,ТабЗаказы[#Headers],0),0),"")</f>
        <v/>
      </c>
      <c r="F1222" s="16" t="s">
        <v>1730</v>
      </c>
      <c r="G1222" s="40" t="s">
        <v>545</v>
      </c>
      <c r="I1222" s="18">
        <v>45604</v>
      </c>
      <c r="J1222" s="10">
        <v>1</v>
      </c>
      <c r="K1222" s="10">
        <v>1594</v>
      </c>
      <c r="L1222">
        <v>1594</v>
      </c>
      <c r="M1222" s="10">
        <v>1678</v>
      </c>
      <c r="N1222">
        <f t="shared" si="23"/>
        <v>1678</v>
      </c>
      <c r="P12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Row],[orderNum]],ТабПозиции[orderSumm])&gt;1500),ABS(N1222*VLOOKUP(ТабПозиции[[#This Row],[orderNum]],ТабЗаказы[#Data],MATCH("Percent",ТабЗаказы[#Headers],0),0))/100,200/COUNTIF(ТабПозиции[orderNum],ТабПозиции[[#This Row],[orderNum]])),0),"")</f>
        <v>168</v>
      </c>
      <c r="Q1222">
        <f>IF(OR(ТабПозиции[[#This Row],[item]]="По штрихкоду",ТабПозиции[[#This Row],[item]]="Посылка"),ТабПозиции[[#This Row],[deliverySumm]]+ТабПозиции[[#This Row],[deliveryPost]],SUM(N1222:P1222))</f>
        <v>1846</v>
      </c>
      <c r="S1222" s="46">
        <f>ТабПозиции[[#This Row],[totalSumm]]-ТабПозиции[[#This Row],[payment]]</f>
        <v>1846</v>
      </c>
      <c r="T1222" s="18" t="s">
        <v>970</v>
      </c>
      <c r="U1222" s="40" t="s">
        <v>545</v>
      </c>
      <c r="V1222" s="40" t="s">
        <v>545</v>
      </c>
      <c r="W1222" s="40" t="s">
        <v>545</v>
      </c>
      <c r="X1222" s="3"/>
      <c r="Y1222"/>
    </row>
    <row r="1223" spans="1:25" hidden="1" x14ac:dyDescent="0.25">
      <c r="A1223" s="10">
        <v>329</v>
      </c>
      <c r="B1223" s="1">
        <f>IFERROR(VLOOKUP(ТабПозиции[[#This Row],[orderNum]],ТабЗаказы[#Data],MATCH(B$7,ТабЗаказы[#Headers],0),0),"")</f>
        <v>45604</v>
      </c>
      <c r="C1223" t="str">
        <f>MONTH(ТабПозиции[[#This Row],[date]])&amp;"/"&amp;YEAR(ТабПозиции[[#This Row],[date]])</f>
        <v>11/2024</v>
      </c>
      <c r="D1223" s="1" t="str">
        <f>IFERROR(VLOOKUP(ТабПозиции[[#This Row],[orderNum]],ТабЗаказы[#Data],MATCH(D$7,ТабЗаказы[#Headers],0),0),"")</f>
        <v/>
      </c>
      <c r="E1223" s="1" t="str">
        <f>IFERROR(VLOOKUP(ТабПозиции[[#This Row],[orderNum]],ТабЗаказы[#Data],MATCH(E$7,ТабЗаказы[#Headers],0),0),"")</f>
        <v/>
      </c>
      <c r="F1223" s="10" t="s">
        <v>32</v>
      </c>
      <c r="G1223" s="40" t="s">
        <v>545</v>
      </c>
      <c r="I1223" s="18">
        <v>45604</v>
      </c>
      <c r="J1223" s="10">
        <v>1</v>
      </c>
      <c r="K1223" s="10">
        <v>5288</v>
      </c>
      <c r="L1223">
        <f>ТабПозиции[[#This Row],[discountPrice]]*ТабПозиции[[#This Row],[quantity]]</f>
        <v>5288</v>
      </c>
      <c r="M1223" s="10">
        <v>5288</v>
      </c>
      <c r="N1223">
        <f t="shared" si="23"/>
        <v>5288</v>
      </c>
      <c r="P12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Row],[orderNum]],ТабПозиции[orderSumm])&gt;1500),ABS(N1223*VLOOKUP(ТабПозиции[[#This Row],[orderNum]],ТабЗаказы[#Data],MATCH("Percent",ТабЗаказы[#Headers],0),0))/100,200/COUNTIF(ТабПозиции[orderNum],ТабПозиции[[#This Row],[orderNum]])),0),"")</f>
        <v>793</v>
      </c>
      <c r="Q1223">
        <f>IF(OR(ТабПозиции[[#This Row],[item]]="По штрихкоду",ТабПозиции[[#This Row],[item]]="Посылка"),ТабПозиции[[#This Row],[deliverySumm]]+ТабПозиции[[#This Row],[deliveryPost]],SUM(N1223:P1223))</f>
        <v>793</v>
      </c>
      <c r="R1223" s="41">
        <v>793</v>
      </c>
      <c r="S1223" s="46">
        <f>ТабПозиции[[#This Row],[totalSumm]]-ТабПозиции[[#This Row],[payment]]</f>
        <v>0</v>
      </c>
      <c r="T1223" s="18" t="s">
        <v>960</v>
      </c>
      <c r="U1223" s="40" t="s">
        <v>545</v>
      </c>
      <c r="V1223" s="40" t="s">
        <v>545</v>
      </c>
      <c r="W1223" s="40" t="s">
        <v>545</v>
      </c>
      <c r="X1223" s="3"/>
      <c r="Y1223"/>
    </row>
    <row r="1224" spans="1:25" hidden="1" x14ac:dyDescent="0.25">
      <c r="A1224" s="10">
        <v>330</v>
      </c>
      <c r="B1224" s="1">
        <f>IFERROR(VLOOKUP(ТабПозиции[[#This Row],[orderNum]],ТабЗаказы[#Data],MATCH(B$7,ТабЗаказы[#Headers],0),0),"")</f>
        <v>45604</v>
      </c>
      <c r="C1224" t="str">
        <f>MONTH(ТабПозиции[[#This Row],[date]])&amp;"/"&amp;YEAR(ТабПозиции[[#This Row],[date]])</f>
        <v>11/2024</v>
      </c>
      <c r="D1224" s="1" t="str">
        <f>IFERROR(VLOOKUP(ТабПозиции[[#This Row],[orderNum]],ТабЗаказы[#Data],MATCH(D$7,ТабЗаказы[#Headers],0),0),"")</f>
        <v/>
      </c>
      <c r="E1224" s="1" t="str">
        <f>IFERROR(VLOOKUP(ТабПозиции[[#This Row],[orderNum]],ТабЗаказы[#Data],MATCH(E$7,ТабЗаказы[#Headers],0),0),"")</f>
        <v/>
      </c>
      <c r="F1224" s="10" t="s">
        <v>32</v>
      </c>
      <c r="G1224" s="40" t="s">
        <v>545</v>
      </c>
      <c r="I1224" s="18">
        <v>45604</v>
      </c>
      <c r="J1224" s="10">
        <v>1</v>
      </c>
      <c r="K1224" s="10">
        <v>1638</v>
      </c>
      <c r="L1224">
        <f>ТабПозиции[[#This Row],[discountPrice]]*ТабПозиции[[#This Row],[quantity]]</f>
        <v>1638</v>
      </c>
      <c r="M1224" s="10">
        <v>1638</v>
      </c>
      <c r="N1224">
        <f t="shared" si="23"/>
        <v>1638</v>
      </c>
      <c r="P12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Row],[orderNum]],ТабПозиции[orderSumm])&gt;1500),ABS(N1224*VLOOKUP(ТабПозиции[[#This Row],[orderNum]],ТабЗаказы[#Data],MATCH("Percent",ТабЗаказы[#Headers],0),0))/100,200/COUNTIF(ТабПозиции[orderNum],ТабПозиции[[#This Row],[orderNum]])),0),"")</f>
        <v>246</v>
      </c>
      <c r="Q1224">
        <f>IF(OR(ТабПозиции[[#This Row],[item]]="По штрихкоду",ТабПозиции[[#This Row],[item]]="Посылка"),ТабПозиции[[#This Row],[deliverySumm]]+ТабПозиции[[#This Row],[deliveryPost]],SUM(N1224:P1224))</f>
        <v>246</v>
      </c>
      <c r="R1224" s="41">
        <v>246</v>
      </c>
      <c r="S1224" s="46">
        <f>ТабПозиции[[#This Row],[totalSumm]]-ТабПозиции[[#This Row],[payment]]</f>
        <v>0</v>
      </c>
      <c r="T1224" s="18" t="s">
        <v>960</v>
      </c>
      <c r="U1224" s="40" t="s">
        <v>545</v>
      </c>
      <c r="V1224" s="40" t="s">
        <v>545</v>
      </c>
      <c r="W1224" s="40" t="s">
        <v>545</v>
      </c>
      <c r="X1224" s="3"/>
      <c r="Y1224"/>
    </row>
    <row r="1225" spans="1:25" hidden="1" x14ac:dyDescent="0.25">
      <c r="A1225" s="10">
        <v>331</v>
      </c>
      <c r="B1225" s="1">
        <f>IFERROR(VLOOKUP(ТабПозиции[[#This Row],[orderNum]],ТабЗаказы[#Data],MATCH(B$7,ТабЗаказы[#Headers],0),0),"")</f>
        <v>45604</v>
      </c>
      <c r="C1225" t="str">
        <f>MONTH(ТабПозиции[[#This Row],[date]])&amp;"/"&amp;YEAR(ТабПозиции[[#This Row],[date]])</f>
        <v>11/2024</v>
      </c>
      <c r="D1225" s="1" t="str">
        <f>IFERROR(VLOOKUP(ТабПозиции[[#This Row],[orderNum]],ТабЗаказы[#Data],MATCH(D$7,ТабЗаказы[#Headers],0),0),"")</f>
        <v/>
      </c>
      <c r="E1225" s="1" t="str">
        <f>IFERROR(VLOOKUP(ТабПозиции[[#This Row],[orderNum]],ТабЗаказы[#Data],MATCH(E$7,ТабЗаказы[#Headers],0),0),"")</f>
        <v/>
      </c>
      <c r="F1225" s="16" t="s">
        <v>1744</v>
      </c>
      <c r="G1225" s="40" t="s">
        <v>545</v>
      </c>
      <c r="I1225" s="18">
        <v>45607</v>
      </c>
      <c r="J1225" s="10">
        <v>1</v>
      </c>
      <c r="K1225" s="10">
        <v>304</v>
      </c>
      <c r="L1225">
        <f>ТабПозиции[[#This Row],[discountPrice]]*ТабПозиции[[#This Row],[quantity]]</f>
        <v>304</v>
      </c>
      <c r="M1225" s="10">
        <v>310</v>
      </c>
      <c r="N1225">
        <f t="shared" si="23"/>
        <v>310</v>
      </c>
      <c r="P12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Row],[orderNum]],ТабПозиции[orderSumm])&gt;1500),ABS(N1225*VLOOKUP(ТабПозиции[[#This Row],[orderNum]],ТабЗаказы[#Data],MATCH("Percent",ТабЗаказы[#Headers],0),0))/100,200/COUNTIF(ТабПозиции[orderNum],ТабПозиции[[#This Row],[orderNum]])),0),"")</f>
        <v>47</v>
      </c>
      <c r="Q1225">
        <f>IF(OR(ТабПозиции[[#This Row],[item]]="По штрихкоду",ТабПозиции[[#This Row],[item]]="Посылка"),ТабПозиции[[#This Row],[deliverySumm]]+ТабПозиции[[#This Row],[deliveryPost]],SUM(N1225:P1225))</f>
        <v>357</v>
      </c>
      <c r="R1225" s="41">
        <v>357</v>
      </c>
      <c r="S1225" s="46">
        <f>ТабПозиции[[#This Row],[totalSumm]]-ТабПозиции[[#This Row],[payment]]</f>
        <v>0</v>
      </c>
      <c r="T1225" s="18" t="s">
        <v>960</v>
      </c>
      <c r="U1225" s="40" t="s">
        <v>545</v>
      </c>
      <c r="V1225" s="40" t="str">
        <f>IF(AND(ТабПозиции[[#This Row],[Остаток]]=0,ТабПозиции[[#This Row],[Заказан]]="Да"),"Да","Нет")</f>
        <v>Да</v>
      </c>
      <c r="W1225" s="40" t="s">
        <v>545</v>
      </c>
      <c r="X1225" s="3"/>
      <c r="Y1225"/>
    </row>
    <row r="1226" spans="1:25" hidden="1" x14ac:dyDescent="0.25">
      <c r="A1226" s="10">
        <v>331</v>
      </c>
      <c r="B1226" s="1">
        <f>IFERROR(VLOOKUP(ТабПозиции[[#This Row],[orderNum]],ТабЗаказы[#Data],MATCH(B$7,ТабЗаказы[#Headers],0),0),"")</f>
        <v>45604</v>
      </c>
      <c r="C1226" t="str">
        <f>MONTH(ТабПозиции[[#This Row],[date]])&amp;"/"&amp;YEAR(ТабПозиции[[#This Row],[date]])</f>
        <v>11/2024</v>
      </c>
      <c r="D1226" s="1" t="str">
        <f>IFERROR(VLOOKUP(ТабПозиции[[#This Row],[orderNum]],ТабЗаказы[#Data],MATCH(D$7,ТабЗаказы[#Headers],0),0),"")</f>
        <v/>
      </c>
      <c r="E1226" s="1" t="str">
        <f>IFERROR(VLOOKUP(ТабПозиции[[#This Row],[orderNum]],ТабЗаказы[#Data],MATCH(E$7,ТабЗаказы[#Headers],0),0),"")</f>
        <v/>
      </c>
      <c r="F1226" s="16" t="s">
        <v>1745</v>
      </c>
      <c r="G1226" s="40" t="s">
        <v>545</v>
      </c>
      <c r="I1226" s="18">
        <v>45607</v>
      </c>
      <c r="J1226" s="10">
        <v>1</v>
      </c>
      <c r="K1226" s="10">
        <v>377</v>
      </c>
      <c r="L1226">
        <f>ТабПозиции[[#This Row],[discountPrice]]*ТабПозиции[[#This Row],[quantity]]</f>
        <v>377</v>
      </c>
      <c r="M1226" s="10">
        <v>385</v>
      </c>
      <c r="N1226">
        <f t="shared" si="23"/>
        <v>385</v>
      </c>
      <c r="P12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Row],[orderNum]],ТабПозиции[orderSumm])&gt;1500),ABS(N1226*VLOOKUP(ТабПозиции[[#This Row],[orderNum]],ТабЗаказы[#Data],MATCH("Percent",ТабЗаказы[#Headers],0),0))/100,200/COUNTIF(ТабПозиции[orderNum],ТабПозиции[[#This Row],[orderNum]])),0),"")</f>
        <v>58</v>
      </c>
      <c r="Q1226">
        <f>IF(OR(ТабПозиции[[#This Row],[item]]="По штрихкоду",ТабПозиции[[#This Row],[item]]="Посылка"),ТабПозиции[[#This Row],[deliverySumm]]+ТабПозиции[[#This Row],[deliveryPost]],SUM(N1226:P1226))</f>
        <v>443</v>
      </c>
      <c r="R1226" s="41">
        <v>443</v>
      </c>
      <c r="S1226" s="46">
        <f>ТабПозиции[[#This Row],[totalSumm]]-ТабПозиции[[#This Row],[payment]]</f>
        <v>0</v>
      </c>
      <c r="T1226" s="18" t="s">
        <v>960</v>
      </c>
      <c r="U1226" s="40" t="s">
        <v>545</v>
      </c>
      <c r="V1226" s="40" t="str">
        <f>IF(AND(ТабПозиции[[#This Row],[Остаток]]=0,ТабПозиции[[#This Row],[Заказан]]="Да"),"Да","Нет")</f>
        <v>Да</v>
      </c>
      <c r="W1226" s="40" t="s">
        <v>545</v>
      </c>
      <c r="X1226" s="3"/>
      <c r="Y1226"/>
    </row>
    <row r="1227" spans="1:25" hidden="1" x14ac:dyDescent="0.25">
      <c r="A1227" s="10">
        <v>331</v>
      </c>
      <c r="B1227" s="1">
        <f>IFERROR(VLOOKUP(ТабПозиции[[#This Row],[orderNum]],ТабЗаказы[#Data],MATCH(B$7,ТабЗаказы[#Headers],0),0),"")</f>
        <v>45604</v>
      </c>
      <c r="C1227" t="str">
        <f>MONTH(ТабПозиции[[#This Row],[date]])&amp;"/"&amp;YEAR(ТабПозиции[[#This Row],[date]])</f>
        <v>11/2024</v>
      </c>
      <c r="D1227" s="1" t="str">
        <f>IFERROR(VLOOKUP(ТабПозиции[[#This Row],[orderNum]],ТабЗаказы[#Data],MATCH(D$7,ТабЗаказы[#Headers],0),0),"")</f>
        <v/>
      </c>
      <c r="E1227" s="1" t="str">
        <f>IFERROR(VLOOKUP(ТабПозиции[[#This Row],[orderNum]],ТабЗаказы[#Data],MATCH(E$7,ТабЗаказы[#Headers],0),0),"")</f>
        <v/>
      </c>
      <c r="F1227" s="16" t="s">
        <v>1746</v>
      </c>
      <c r="G1227" s="40" t="s">
        <v>545</v>
      </c>
      <c r="I1227" s="18">
        <v>45608</v>
      </c>
      <c r="J1227" s="10">
        <v>1</v>
      </c>
      <c r="K1227" s="10">
        <v>473</v>
      </c>
      <c r="L1227">
        <f>ТабПозиции[[#This Row],[discountPrice]]*ТабПозиции[[#This Row],[quantity]]</f>
        <v>473</v>
      </c>
      <c r="M1227" s="10">
        <v>498</v>
      </c>
      <c r="N1227">
        <f t="shared" si="23"/>
        <v>498</v>
      </c>
      <c r="P12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Row],[orderNum]],ТабПозиции[orderSumm])&gt;1500),ABS(N1227*VLOOKUP(ТабПозиции[[#This Row],[orderNum]],ТабЗаказы[#Data],MATCH("Percent",ТабЗаказы[#Headers],0),0))/100,200/COUNTIF(ТабПозиции[orderNum],ТабПозиции[[#This Row],[orderNum]])),0),"")</f>
        <v>75</v>
      </c>
      <c r="Q1227">
        <f>IF(OR(ТабПозиции[[#This Row],[item]]="По штрихкоду",ТабПозиции[[#This Row],[item]]="Посылка"),ТабПозиции[[#This Row],[deliverySumm]]+ТабПозиции[[#This Row],[deliveryPost]],SUM(N1227:P1227))</f>
        <v>573</v>
      </c>
      <c r="R1227" s="41">
        <v>573</v>
      </c>
      <c r="S1227" s="46">
        <f>ТабПозиции[[#This Row],[totalSumm]]-ТабПозиции[[#This Row],[payment]]</f>
        <v>0</v>
      </c>
      <c r="T1227" s="18" t="s">
        <v>970</v>
      </c>
      <c r="U1227" s="40" t="s">
        <v>545</v>
      </c>
      <c r="V1227" s="40" t="str">
        <f>IF(AND(ТабПозиции[[#This Row],[Остаток]]=0,ТабПозиции[[#This Row],[Заказан]]="Да"),"Да","Нет")</f>
        <v>Да</v>
      </c>
      <c r="W1227" s="40" t="s">
        <v>545</v>
      </c>
      <c r="X1227" s="3"/>
      <c r="Y1227"/>
    </row>
    <row r="1228" spans="1:25" hidden="1" x14ac:dyDescent="0.25">
      <c r="A1228" s="10">
        <v>331</v>
      </c>
      <c r="B1228" s="1">
        <f>IFERROR(VLOOKUP(ТабПозиции[[#This Row],[orderNum]],ТабЗаказы[#Data],MATCH(B$7,ТабЗаказы[#Headers],0),0),"")</f>
        <v>45604</v>
      </c>
      <c r="C1228" t="str">
        <f>MONTH(ТабПозиции[[#This Row],[date]])&amp;"/"&amp;YEAR(ТабПозиции[[#This Row],[date]])</f>
        <v>11/2024</v>
      </c>
      <c r="D1228" s="1" t="str">
        <f>IFERROR(VLOOKUP(ТабПозиции[[#This Row],[orderNum]],ТабЗаказы[#Data],MATCH(D$7,ТабЗаказы[#Headers],0),0),"")</f>
        <v/>
      </c>
      <c r="E1228" s="1" t="str">
        <f>IFERROR(VLOOKUP(ТабПозиции[[#This Row],[orderNum]],ТабЗаказы[#Data],MATCH(E$7,ТабЗаказы[#Headers],0),0),"")</f>
        <v/>
      </c>
      <c r="F1228" s="16" t="s">
        <v>1676</v>
      </c>
      <c r="G1228" s="40" t="s">
        <v>545</v>
      </c>
      <c r="I1228" s="18">
        <v>45608</v>
      </c>
      <c r="J1228" s="10">
        <v>1</v>
      </c>
      <c r="K1228" s="10">
        <v>489</v>
      </c>
      <c r="L1228">
        <f>ТабПозиции[[#This Row],[discountPrice]]*ТабПозиции[[#This Row],[quantity]]</f>
        <v>489</v>
      </c>
      <c r="M1228" s="10">
        <v>515</v>
      </c>
      <c r="N1228">
        <f t="shared" si="23"/>
        <v>515</v>
      </c>
      <c r="P12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Row],[orderNum]],ТабПозиции[orderSumm])&gt;1500),ABS(N1228*VLOOKUP(ТабПозиции[[#This Row],[orderNum]],ТабЗаказы[#Data],MATCH("Percent",ТабЗаказы[#Headers],0),0))/100,200/COUNTIF(ТабПозиции[orderNum],ТабПозиции[[#This Row],[orderNum]])),0),"")</f>
        <v>77</v>
      </c>
      <c r="Q1228">
        <f>IF(OR(ТабПозиции[[#This Row],[item]]="По штрихкоду",ТабПозиции[[#This Row],[item]]="Посылка"),ТабПозиции[[#This Row],[deliverySumm]]+ТабПозиции[[#This Row],[deliveryPost]],SUM(N1228:P1228))</f>
        <v>592</v>
      </c>
      <c r="R1228" s="41">
        <v>592</v>
      </c>
      <c r="S1228" s="46">
        <f>ТабПозиции[[#This Row],[totalSumm]]-ТабПозиции[[#This Row],[payment]]</f>
        <v>0</v>
      </c>
      <c r="T1228" s="18" t="s">
        <v>970</v>
      </c>
      <c r="U1228" s="40" t="s">
        <v>545</v>
      </c>
      <c r="V1228" s="40" t="str">
        <f>IF(AND(ТабПозиции[[#This Row],[Остаток]]=0,ТабПозиции[[#This Row],[Заказан]]="Да"),"Да","Нет")</f>
        <v>Да</v>
      </c>
      <c r="W1228" s="40" t="s">
        <v>545</v>
      </c>
      <c r="X1228" s="3"/>
      <c r="Y1228"/>
    </row>
    <row r="1229" spans="1:25" hidden="1" x14ac:dyDescent="0.25">
      <c r="A1229" s="10">
        <v>332</v>
      </c>
      <c r="B1229" s="1">
        <f>IFERROR(VLOOKUP(ТабПозиции[[#This Row],[orderNum]],ТабЗаказы[#Data],MATCH(B$7,ТабЗаказы[#Headers],0),0),"")</f>
        <v>45604</v>
      </c>
      <c r="C1229" t="str">
        <f>MONTH(ТабПозиции[[#This Row],[date]])&amp;"/"&amp;YEAR(ТабПозиции[[#This Row],[date]])</f>
        <v>11/2024</v>
      </c>
      <c r="D1229" s="1" t="str">
        <f>IFERROR(VLOOKUP(ТабПозиции[[#This Row],[orderNum]],ТабЗаказы[#Data],MATCH(D$7,ТабЗаказы[#Headers],0),0),"")</f>
        <v/>
      </c>
      <c r="E1229" s="1" t="str">
        <f>IFERROR(VLOOKUP(ТабПозиции[[#This Row],[orderNum]],ТабЗаказы[#Data],MATCH(E$7,ТабЗаказы[#Headers],0),0),"")</f>
        <v/>
      </c>
      <c r="F1229" s="16" t="s">
        <v>777</v>
      </c>
      <c r="G1229" s="40" t="s">
        <v>545</v>
      </c>
      <c r="I1229" s="18">
        <v>45606</v>
      </c>
      <c r="J1229" s="10">
        <v>1</v>
      </c>
      <c r="K1229" s="10">
        <v>151</v>
      </c>
      <c r="L1229">
        <f>ТабПозиции[[#This Row],[discountPrice]]*ТабПозиции[[#This Row],[quantity]]</f>
        <v>151</v>
      </c>
      <c r="M1229" s="10">
        <v>159</v>
      </c>
      <c r="N1229">
        <f t="shared" si="23"/>
        <v>159</v>
      </c>
      <c r="P12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Row],[orderNum]],ТабПозиции[orderSumm])&gt;1500),ABS(N1229*VLOOKUP(ТабПозиции[[#This Row],[orderNum]],ТабЗаказы[#Data],MATCH("Percent",ТабЗаказы[#Headers],0),0))/100,200/COUNTIF(ТабПозиции[orderNum],ТабПозиции[[#This Row],[orderNum]])),0),"")</f>
        <v>24</v>
      </c>
      <c r="Q1229">
        <f>IF(OR(ТабПозиции[[#This Row],[item]]="По штрихкоду",ТабПозиции[[#This Row],[item]]="Посылка"),ТабПозиции[[#This Row],[deliverySumm]]+ТабПозиции[[#This Row],[deliveryPost]],SUM(N1229:P1229))</f>
        <v>183</v>
      </c>
      <c r="R1229" s="41">
        <v>183</v>
      </c>
      <c r="S1229" s="46">
        <f>ТабПозиции[[#This Row],[totalSumm]]-ТабПозиции[[#This Row],[payment]]</f>
        <v>0</v>
      </c>
      <c r="T1229" s="18" t="s">
        <v>970</v>
      </c>
      <c r="U1229" s="40" t="s">
        <v>545</v>
      </c>
      <c r="V1229" s="40" t="str">
        <f>IF(AND(ТабПозиции[[#This Row],[Остаток]]=0,ТабПозиции[[#This Row],[Заказан]]="Да"),"Да","Нет")</f>
        <v>Да</v>
      </c>
      <c r="W1229" s="40" t="s">
        <v>545</v>
      </c>
      <c r="X1229" s="3"/>
      <c r="Y1229"/>
    </row>
    <row r="1230" spans="1:25" hidden="1" x14ac:dyDescent="0.25">
      <c r="A1230" s="10">
        <v>332</v>
      </c>
      <c r="B1230" s="1">
        <f>IFERROR(VLOOKUP(ТабПозиции[[#This Row],[orderNum]],ТабЗаказы[#Data],MATCH(B$7,ТабЗаказы[#Headers],0),0),"")</f>
        <v>45604</v>
      </c>
      <c r="C1230" t="str">
        <f>MONTH(ТабПозиции[[#This Row],[date]])&amp;"/"&amp;YEAR(ТабПозиции[[#This Row],[date]])</f>
        <v>11/2024</v>
      </c>
      <c r="D1230" s="1" t="str">
        <f>IFERROR(VLOOKUP(ТабПозиции[[#This Row],[orderNum]],ТабЗаказы[#Data],MATCH(D$7,ТабЗаказы[#Headers],0),0),"")</f>
        <v/>
      </c>
      <c r="E1230" s="1" t="str">
        <f>IFERROR(VLOOKUP(ТабПозиции[[#This Row],[orderNum]],ТабЗаказы[#Data],MATCH(E$7,ТабЗаказы[#Headers],0),0),"")</f>
        <v/>
      </c>
      <c r="F1230" s="16" t="s">
        <v>1747</v>
      </c>
      <c r="G1230" s="40" t="s">
        <v>545</v>
      </c>
      <c r="I1230" s="18">
        <v>45609</v>
      </c>
      <c r="J1230" s="10">
        <v>1</v>
      </c>
      <c r="K1230" s="10">
        <v>1052</v>
      </c>
      <c r="L1230">
        <f>ТабПозиции[[#This Row],[discountPrice]]*ТабПозиции[[#This Row],[quantity]]</f>
        <v>1052</v>
      </c>
      <c r="M1230" s="10">
        <v>1084</v>
      </c>
      <c r="N1230">
        <f t="shared" si="23"/>
        <v>1084</v>
      </c>
      <c r="P12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Row],[orderNum]],ТабПозиции[orderSumm])&gt;1500),ABS(N1230*VLOOKUP(ТабПозиции[[#This Row],[orderNum]],ТабЗаказы[#Data],MATCH("Percent",ТабЗаказы[#Headers],0),0))/100,200/COUNTIF(ТабПозиции[orderNum],ТабПозиции[[#This Row],[orderNum]])),0),"")</f>
        <v>163</v>
      </c>
      <c r="Q1230">
        <f>IF(OR(ТабПозиции[[#This Row],[item]]="По штрихкоду",ТабПозиции[[#This Row],[item]]="Посылка"),ТабПозиции[[#This Row],[deliverySumm]]+ТабПозиции[[#This Row],[deliveryPost]],SUM(N1230:P1230))</f>
        <v>1247</v>
      </c>
      <c r="R1230" s="41">
        <v>1247</v>
      </c>
      <c r="S1230" s="46">
        <f>ТабПозиции[[#This Row],[totalSumm]]-ТабПозиции[[#This Row],[payment]]</f>
        <v>0</v>
      </c>
      <c r="T1230" s="18" t="s">
        <v>960</v>
      </c>
      <c r="U1230" s="40" t="s">
        <v>545</v>
      </c>
      <c r="V1230" s="40" t="str">
        <f>IF(AND(ТабПозиции[[#This Row],[Остаток]]=0,ТабПозиции[[#This Row],[Заказан]]="Да"),"Да","Нет")</f>
        <v>Да</v>
      </c>
      <c r="W1230" s="40" t="s">
        <v>545</v>
      </c>
      <c r="X1230" s="3"/>
      <c r="Y1230"/>
    </row>
    <row r="1231" spans="1:25" hidden="1" x14ac:dyDescent="0.25">
      <c r="A1231" s="10">
        <v>332</v>
      </c>
      <c r="B1231" s="1">
        <f>IFERROR(VLOOKUP(ТабПозиции[[#This Row],[orderNum]],ТабЗаказы[#Data],MATCH(B$7,ТабЗаказы[#Headers],0),0),"")</f>
        <v>45604</v>
      </c>
      <c r="C1231" t="str">
        <f>MONTH(ТабПозиции[[#This Row],[date]])&amp;"/"&amp;YEAR(ТабПозиции[[#This Row],[date]])</f>
        <v>11/2024</v>
      </c>
      <c r="D1231" s="1" t="str">
        <f>IFERROR(VLOOKUP(ТабПозиции[[#This Row],[orderNum]],ТабЗаказы[#Data],MATCH(D$7,ТабЗаказы[#Headers],0),0),"")</f>
        <v/>
      </c>
      <c r="E1231" s="1" t="str">
        <f>IFERROR(VLOOKUP(ТабПозиции[[#This Row],[orderNum]],ТабЗаказы[#Data],MATCH(E$7,ТабЗаказы[#Headers],0),0),"")</f>
        <v/>
      </c>
      <c r="F1231" s="16" t="s">
        <v>1748</v>
      </c>
      <c r="G1231" s="40" t="s">
        <v>545</v>
      </c>
      <c r="I1231" s="18">
        <v>45615</v>
      </c>
      <c r="J1231" s="10">
        <v>1</v>
      </c>
      <c r="K1231" s="10">
        <v>1033</v>
      </c>
      <c r="L1231">
        <f>ТабПозиции[[#This Row],[discountPrice]]*ТабПозиции[[#This Row],[quantity]]</f>
        <v>1033</v>
      </c>
      <c r="M1231" s="10">
        <v>1134</v>
      </c>
      <c r="N1231">
        <f t="shared" si="23"/>
        <v>1134</v>
      </c>
      <c r="P12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Row],[orderNum]],ТабПозиции[orderSumm])&gt;1500),ABS(N1231*VLOOKUP(ТабПозиции[[#This Row],[orderNum]],ТабЗаказы[#Data],MATCH("Percent",ТабЗаказы[#Headers],0),0))/100,200/COUNTIF(ТабПозиции[orderNum],ТабПозиции[[#This Row],[orderNum]])),0),"")</f>
        <v>170</v>
      </c>
      <c r="Q1231">
        <f>IF(OR(ТабПозиции[[#This Row],[item]]="По штрихкоду",ТабПозиции[[#This Row],[item]]="Посылка"),ТабПозиции[[#This Row],[deliverySumm]]+ТабПозиции[[#This Row],[deliveryPost]],SUM(N1231:P1231))</f>
        <v>1304</v>
      </c>
      <c r="R1231" s="41">
        <v>1304</v>
      </c>
      <c r="S1231" s="46">
        <f>ТабПозиции[[#This Row],[totalSumm]]-ТабПозиции[[#This Row],[payment]]</f>
        <v>0</v>
      </c>
      <c r="T1231" s="18" t="s">
        <v>960</v>
      </c>
      <c r="U1231" s="40" t="s">
        <v>545</v>
      </c>
      <c r="V1231" s="40" t="str">
        <f>IF(AND(ТабПозиции[[#This Row],[Остаток]]=0,ТабПозиции[[#This Row],[Заказан]]="Да"),"Да","Нет")</f>
        <v>Да</v>
      </c>
      <c r="W1231" s="40" t="str">
        <f>IF(AND(ТабПозиции[[#This Row],[Остаток]]=0,ТабПозиции[[#This Row],[Заказан]]="Да"),"Да","Нет")</f>
        <v>Да</v>
      </c>
      <c r="X1231" s="3"/>
      <c r="Y1231"/>
    </row>
    <row r="1232" spans="1:25" hidden="1" x14ac:dyDescent="0.25">
      <c r="A1232" s="10">
        <v>332</v>
      </c>
      <c r="B1232" s="1">
        <f>IFERROR(VLOOKUP(ТабПозиции[[#This Row],[orderNum]],ТабЗаказы[#Data],MATCH(B$7,ТабЗаказы[#Headers],0),0),"")</f>
        <v>45604</v>
      </c>
      <c r="C1232" t="str">
        <f>MONTH(ТабПозиции[[#This Row],[date]])&amp;"/"&amp;YEAR(ТабПозиции[[#This Row],[date]])</f>
        <v>11/2024</v>
      </c>
      <c r="D1232" s="1" t="str">
        <f>IFERROR(VLOOKUP(ТабПозиции[[#This Row],[orderNum]],ТабЗаказы[#Data],MATCH(D$7,ТабЗаказы[#Headers],0),0),"")</f>
        <v/>
      </c>
      <c r="E1232" s="1" t="str">
        <f>IFERROR(VLOOKUP(ТабПозиции[[#This Row],[orderNum]],ТабЗаказы[#Data],MATCH(E$7,ТабЗаказы[#Headers],0),0),"")</f>
        <v/>
      </c>
      <c r="F1232" s="16" t="s">
        <v>1749</v>
      </c>
      <c r="G1232" s="40" t="s">
        <v>545</v>
      </c>
      <c r="H1232" s="12" t="s">
        <v>2040</v>
      </c>
      <c r="I1232" s="18">
        <v>45626</v>
      </c>
      <c r="J1232" s="10">
        <v>1</v>
      </c>
      <c r="K1232" s="10">
        <v>1113</v>
      </c>
      <c r="L1232">
        <f>ТабПозиции[[#This Row],[discountPrice]]*ТабПозиции[[#This Row],[quantity]]</f>
        <v>1113</v>
      </c>
      <c r="M1232" s="10">
        <v>1221</v>
      </c>
      <c r="N1232">
        <f t="shared" si="23"/>
        <v>1221</v>
      </c>
      <c r="P12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Row],[orderNum]],ТабПозиции[orderSumm])&gt;1500),ABS(N1232*VLOOKUP(ТабПозиции[[#This Row],[orderNum]],ТабЗаказы[#Data],MATCH("Percent",ТабЗаказы[#Headers],0),0))/100,200/COUNTIF(ТабПозиции[orderNum],ТабПозиции[[#This Row],[orderNum]])),0),"")</f>
        <v>183</v>
      </c>
      <c r="Q1232">
        <f>IF(OR(ТабПозиции[[#This Row],[item]]="По штрихкоду",ТабПозиции[[#This Row],[item]]="Посылка"),ТабПозиции[[#This Row],[deliverySumm]]+ТабПозиции[[#This Row],[deliveryPost]],SUM(N1232:P1232))</f>
        <v>1404</v>
      </c>
      <c r="R1232" s="41">
        <v>1404</v>
      </c>
      <c r="S1232" s="46">
        <f>ТабПозиции[[#This Row],[totalSumm]]-ТабПозиции[[#This Row],[payment]]</f>
        <v>0</v>
      </c>
      <c r="T1232" s="18" t="s">
        <v>960</v>
      </c>
      <c r="U1232" s="40" t="s">
        <v>545</v>
      </c>
      <c r="V1232" s="40" t="str">
        <f>IF(AND(ТабПозиции[[#This Row],[Остаток]]=0,ТабПозиции[[#This Row],[Заказан]]="Да"),"Да","Нет")</f>
        <v>Да</v>
      </c>
      <c r="W1232" s="40" t="s">
        <v>545</v>
      </c>
      <c r="X1232" s="3"/>
      <c r="Y1232"/>
    </row>
    <row r="1233" spans="1:25" hidden="1" x14ac:dyDescent="0.25">
      <c r="A1233" s="10">
        <v>332</v>
      </c>
      <c r="B1233" s="1">
        <f>IFERROR(VLOOKUP(ТабПозиции[[#This Row],[orderNum]],ТабЗаказы[#Data],MATCH(B$7,ТабЗаказы[#Headers],0),0),"")</f>
        <v>45604</v>
      </c>
      <c r="C1233" t="str">
        <f>MONTH(ТабПозиции[[#This Row],[date]])&amp;"/"&amp;YEAR(ТабПозиции[[#This Row],[date]])</f>
        <v>11/2024</v>
      </c>
      <c r="D1233" s="1" t="str">
        <f>IFERROR(VLOOKUP(ТабПозиции[[#This Row],[orderNum]],ТабЗаказы[#Data],MATCH(D$7,ТабЗаказы[#Headers],0),0),"")</f>
        <v/>
      </c>
      <c r="E1233" s="1" t="str">
        <f>IFERROR(VLOOKUP(ТабПозиции[[#This Row],[orderNum]],ТабЗаказы[#Data],MATCH(E$7,ТабЗаказы[#Headers],0),0),"")</f>
        <v/>
      </c>
      <c r="F1233" s="16" t="s">
        <v>1750</v>
      </c>
      <c r="G1233" s="40" t="s">
        <v>545</v>
      </c>
      <c r="I1233" s="18">
        <v>45607</v>
      </c>
      <c r="J1233" s="10">
        <v>1</v>
      </c>
      <c r="K1233" s="10">
        <v>171</v>
      </c>
      <c r="L1233">
        <f>ТабПозиции[[#This Row],[discountPrice]]*ТабПозиции[[#This Row],[quantity]]</f>
        <v>171</v>
      </c>
      <c r="M1233" s="10">
        <v>180</v>
      </c>
      <c r="N1233">
        <f t="shared" si="23"/>
        <v>180</v>
      </c>
      <c r="P12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Row],[orderNum]],ТабПозиции[orderSumm])&gt;1500),ABS(N1233*VLOOKUP(ТабПозиции[[#This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233">
        <f>IF(OR(ТабПозиции[[#This Row],[item]]="По штрихкоду",ТабПозиции[[#This Row],[item]]="Посылка"),ТабПозиции[[#This Row],[deliverySumm]]+ТабПозиции[[#This Row],[deliveryPost]],SUM(N1233:P1233))</f>
        <v>207</v>
      </c>
      <c r="R1233" s="41">
        <v>207</v>
      </c>
      <c r="S1233" s="46">
        <f>ТабПозиции[[#This Row],[totalSumm]]-ТабПозиции[[#This Row],[payment]]</f>
        <v>0</v>
      </c>
      <c r="T1233" s="18" t="s">
        <v>970</v>
      </c>
      <c r="U1233" s="40" t="s">
        <v>545</v>
      </c>
      <c r="V1233" s="40" t="str">
        <f>IF(AND(ТабПозиции[[#This Row],[Остаток]]=0,ТабПозиции[[#This Row],[Заказан]]="Да"),"Да","Нет")</f>
        <v>Да</v>
      </c>
      <c r="W1233" s="40" t="s">
        <v>545</v>
      </c>
      <c r="X1233" s="3"/>
      <c r="Y1233"/>
    </row>
    <row r="1234" spans="1:25" hidden="1" x14ac:dyDescent="0.25">
      <c r="A1234" s="10">
        <v>332</v>
      </c>
      <c r="B1234" s="1">
        <f>IFERROR(VLOOKUP(ТабПозиции[[#This Row],[orderNum]],ТабЗаказы[#Data],MATCH(B$7,ТабЗаказы[#Headers],0),0),"")</f>
        <v>45604</v>
      </c>
      <c r="C1234" t="str">
        <f>MONTH(ТабПозиции[[#This Row],[date]])&amp;"/"&amp;YEAR(ТабПозиции[[#This Row],[date]])</f>
        <v>11/2024</v>
      </c>
      <c r="D1234" s="1" t="str">
        <f>IFERROR(VLOOKUP(ТабПозиции[[#This Row],[orderNum]],ТабЗаказы[#Data],MATCH(D$7,ТабЗаказы[#Headers],0),0),"")</f>
        <v/>
      </c>
      <c r="E1234" s="1" t="str">
        <f>IFERROR(VLOOKUP(ТабПозиции[[#This Row],[orderNum]],ТабЗаказы[#Data],MATCH(E$7,ТабЗаказы[#Headers],0),0),"")</f>
        <v/>
      </c>
      <c r="F1234" s="16" t="s">
        <v>1751</v>
      </c>
      <c r="G1234" s="40" t="s">
        <v>545</v>
      </c>
      <c r="I1234" s="18">
        <v>45607</v>
      </c>
      <c r="J1234" s="10">
        <v>1</v>
      </c>
      <c r="K1234" s="10">
        <v>323</v>
      </c>
      <c r="L1234">
        <f>ТабПозиции[[#This Row],[discountPrice]]*ТабПозиции[[#This Row],[quantity]]</f>
        <v>323</v>
      </c>
      <c r="M1234" s="10">
        <v>341</v>
      </c>
      <c r="N1234">
        <f t="shared" si="23"/>
        <v>341</v>
      </c>
      <c r="P12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Row],[orderNum]],ТабПозиции[orderSumm])&gt;1500),ABS(N1234*VLOOKUP(ТабПозиции[[#This Row],[orderNum]],ТабЗаказы[#Data],MATCH("Percent",ТабЗаказы[#Headers],0),0))/100,200/COUNTIF(ТабПозиции[orderNum],ТабПозиции[[#This Row],[orderNum]])),0),"")</f>
        <v>51</v>
      </c>
      <c r="Q1234">
        <f>IF(OR(ТабПозиции[[#This Row],[item]]="По штрихкоду",ТабПозиции[[#This Row],[item]]="Посылка"),ТабПозиции[[#This Row],[deliverySumm]]+ТабПозиции[[#This Row],[deliveryPost]],SUM(N1234:P1234))</f>
        <v>392</v>
      </c>
      <c r="R1234" s="41">
        <v>392</v>
      </c>
      <c r="S1234" s="46">
        <f>ТабПозиции[[#This Row],[totalSumm]]-ТабПозиции[[#This Row],[payment]]</f>
        <v>0</v>
      </c>
      <c r="T1234" s="18" t="s">
        <v>970</v>
      </c>
      <c r="U1234" s="40" t="s">
        <v>545</v>
      </c>
      <c r="V1234" s="40" t="str">
        <f>IF(AND(ТабПозиции[[#This Row],[Остаток]]=0,ТабПозиции[[#This Row],[Заказан]]="Да"),"Да","Нет")</f>
        <v>Да</v>
      </c>
      <c r="W1234" s="40" t="s">
        <v>545</v>
      </c>
      <c r="X1234" s="3"/>
      <c r="Y1234"/>
    </row>
    <row r="1235" spans="1:25" hidden="1" x14ac:dyDescent="0.25">
      <c r="A1235" s="10">
        <v>332</v>
      </c>
      <c r="B1235" s="1">
        <f>IFERROR(VLOOKUP(ТабПозиции[[#This Row],[orderNum]],ТабЗаказы[#Data],MATCH(B$7,ТабЗаказы[#Headers],0),0),"")</f>
        <v>45604</v>
      </c>
      <c r="C1235" t="str">
        <f>MONTH(ТабПозиции[[#This Row],[date]])&amp;"/"&amp;YEAR(ТабПозиции[[#This Row],[date]])</f>
        <v>11/2024</v>
      </c>
      <c r="D1235" s="1" t="str">
        <f>IFERROR(VLOOKUP(ТабПозиции[[#This Row],[orderNum]],ТабЗаказы[#Data],MATCH(D$7,ТабЗаказы[#Headers],0),0),"")</f>
        <v/>
      </c>
      <c r="E1235" s="1" t="str">
        <f>IFERROR(VLOOKUP(ТабПозиции[[#This Row],[orderNum]],ТабЗаказы[#Data],MATCH(E$7,ТабЗаказы[#Headers],0),0),"")</f>
        <v/>
      </c>
      <c r="F1235" s="16" t="s">
        <v>1752</v>
      </c>
      <c r="G1235" s="40" t="s">
        <v>545</v>
      </c>
      <c r="I1235" s="18">
        <v>45606</v>
      </c>
      <c r="J1235" s="10">
        <v>1</v>
      </c>
      <c r="K1235" s="10">
        <v>305</v>
      </c>
      <c r="L1235">
        <f>ТабПозиции[[#This Row],[discountPrice]]*ТабПозиции[[#This Row],[quantity]]</f>
        <v>305</v>
      </c>
      <c r="M1235" s="10">
        <v>322</v>
      </c>
      <c r="N1235">
        <f t="shared" si="23"/>
        <v>322</v>
      </c>
      <c r="P12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Row],[orderNum]],ТабПозиции[orderSumm])&gt;1500),ABS(N1235*VLOOKUP(ТабПозиции[[#This Row],[orderNum]],ТабЗаказы[#Data],MATCH("Percent",ТабЗаказы[#Headers],0),0))/100,200/COUNTIF(ТабПозиции[orderNum],ТабПозиции[[#This Row],[orderNum]])),0),"")</f>
        <v>48</v>
      </c>
      <c r="Q1235">
        <f>IF(OR(ТабПозиции[[#This Row],[item]]="По штрихкоду",ТабПозиции[[#This Row],[item]]="Посылка"),ТабПозиции[[#This Row],[deliverySumm]]+ТабПозиции[[#This Row],[deliveryPost]],SUM(N1235:P1235))</f>
        <v>370</v>
      </c>
      <c r="R1235" s="41">
        <v>370</v>
      </c>
      <c r="S1235" s="46">
        <f>ТабПозиции[[#This Row],[totalSumm]]-ТабПозиции[[#This Row],[payment]]</f>
        <v>0</v>
      </c>
      <c r="T1235" s="18" t="s">
        <v>970</v>
      </c>
      <c r="U1235" s="40" t="s">
        <v>545</v>
      </c>
      <c r="V1235" s="40" t="str">
        <f>IF(AND(ТабПозиции[[#This Row],[Остаток]]=0,ТабПозиции[[#This Row],[Заказан]]="Да"),"Да","Нет")</f>
        <v>Да</v>
      </c>
      <c r="W1235" s="40" t="s">
        <v>545</v>
      </c>
      <c r="X1235" s="3"/>
      <c r="Y1235"/>
    </row>
    <row r="1236" spans="1:25" hidden="1" x14ac:dyDescent="0.25">
      <c r="A1236" s="10">
        <v>332</v>
      </c>
      <c r="B1236" s="1">
        <f>IFERROR(VLOOKUP(ТабПозиции[[#This Row],[orderNum]],ТабЗаказы[#Data],MATCH(B$7,ТабЗаказы[#Headers],0),0),"")</f>
        <v>45604</v>
      </c>
      <c r="C1236" t="str">
        <f>MONTH(ТабПозиции[[#This Row],[date]])&amp;"/"&amp;YEAR(ТабПозиции[[#This Row],[date]])</f>
        <v>11/2024</v>
      </c>
      <c r="D1236" s="1" t="str">
        <f>IFERROR(VLOOKUP(ТабПозиции[[#This Row],[orderNum]],ТабЗаказы[#Data],MATCH(D$7,ТабЗаказы[#Headers],0),0),"")</f>
        <v/>
      </c>
      <c r="E1236" s="1" t="str">
        <f>IFERROR(VLOOKUP(ТабПозиции[[#This Row],[orderNum]],ТабЗаказы[#Data],MATCH(E$7,ТабЗаказы[#Headers],0),0),"")</f>
        <v/>
      </c>
      <c r="F1236" s="16" t="s">
        <v>1753</v>
      </c>
      <c r="G1236" s="40" t="s">
        <v>545</v>
      </c>
      <c r="I1236" s="18">
        <v>45606</v>
      </c>
      <c r="J1236" s="10">
        <v>1</v>
      </c>
      <c r="K1236" s="10">
        <v>326</v>
      </c>
      <c r="L1236">
        <f>ТабПозиции[[#This Row],[discountPrice]]*ТабПозиции[[#This Row],[quantity]]</f>
        <v>326</v>
      </c>
      <c r="M1236" s="10">
        <v>344</v>
      </c>
      <c r="N1236">
        <f t="shared" si="23"/>
        <v>344</v>
      </c>
      <c r="P12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Row],[orderNum]],ТабПозиции[orderSumm])&gt;1500),ABS(N1236*VLOOKUP(ТабПозиции[[#This Row],[orderNum]],ТабЗаказы[#Data],MATCH("Percent",ТабЗаказы[#Headers],0),0))/100,200/COUNTIF(ТабПозиции[orderNum],ТабПозиции[[#This Row],[orderNum]])),0),"")</f>
        <v>52</v>
      </c>
      <c r="Q1236">
        <f>IF(OR(ТабПозиции[[#This Row],[item]]="По штрихкоду",ТабПозиции[[#This Row],[item]]="Посылка"),ТабПозиции[[#This Row],[deliverySumm]]+ТабПозиции[[#This Row],[deliveryPost]],SUM(N1236:P1236))</f>
        <v>396</v>
      </c>
      <c r="R1236" s="41">
        <v>396</v>
      </c>
      <c r="S1236" s="46">
        <f>ТабПозиции[[#This Row],[totalSumm]]-ТабПозиции[[#This Row],[payment]]</f>
        <v>0</v>
      </c>
      <c r="T1236" s="18" t="s">
        <v>970</v>
      </c>
      <c r="U1236" s="40" t="s">
        <v>545</v>
      </c>
      <c r="V1236" s="40" t="str">
        <f>IF(AND(ТабПозиции[[#This Row],[Остаток]]=0,ТабПозиции[[#This Row],[Заказан]]="Да"),"Да","Нет")</f>
        <v>Да</v>
      </c>
      <c r="W1236" s="40" t="s">
        <v>545</v>
      </c>
      <c r="X1236" s="3"/>
      <c r="Y1236"/>
    </row>
    <row r="1237" spans="1:25" hidden="1" x14ac:dyDescent="0.25">
      <c r="A1237" s="10">
        <v>332</v>
      </c>
      <c r="B1237" s="1">
        <f>IFERROR(VLOOKUP(ТабПозиции[[#This Row],[orderNum]],ТабЗаказы[#Data],MATCH(B$7,ТабЗаказы[#Headers],0),0),"")</f>
        <v>45604</v>
      </c>
      <c r="C1237" t="str">
        <f>MONTH(ТабПозиции[[#This Row],[date]])&amp;"/"&amp;YEAR(ТабПозиции[[#This Row],[date]])</f>
        <v>11/2024</v>
      </c>
      <c r="D1237" s="1" t="str">
        <f>IFERROR(VLOOKUP(ТабПозиции[[#This Row],[orderNum]],ТабЗаказы[#Data],MATCH(D$7,ТабЗаказы[#Headers],0),0),"")</f>
        <v/>
      </c>
      <c r="E1237" s="1" t="str">
        <f>IFERROR(VLOOKUP(ТабПозиции[[#This Row],[orderNum]],ТабЗаказы[#Data],MATCH(E$7,ТабЗаказы[#Headers],0),0),"")</f>
        <v/>
      </c>
      <c r="F1237" s="16" t="s">
        <v>1254</v>
      </c>
      <c r="G1237" s="40" t="s">
        <v>545</v>
      </c>
      <c r="I1237" s="18">
        <v>45606</v>
      </c>
      <c r="J1237" s="10">
        <v>1</v>
      </c>
      <c r="K1237" s="10">
        <v>414</v>
      </c>
      <c r="L1237">
        <f>ТабПозиции[[#This Row],[discountPrice]]*ТабПозиции[[#This Row],[quantity]]</f>
        <v>414</v>
      </c>
      <c r="M1237" s="10">
        <v>436</v>
      </c>
      <c r="N1237">
        <f t="shared" si="23"/>
        <v>436</v>
      </c>
      <c r="P12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Row],[orderNum]],ТабПозиции[orderSumm])&gt;1500),ABS(N1237*VLOOKUP(ТабПозиции[[#This Row],[orderNum]],ТабЗаказы[#Data],MATCH("Percent",ТабЗаказы[#Headers],0),0))/100,200/COUNTIF(ТабПозиции[orderNum],ТабПозиции[[#This Row],[orderNum]])),0),"")</f>
        <v>65</v>
      </c>
      <c r="Q1237">
        <f>IF(OR(ТабПозиции[[#This Row],[item]]="По штрихкоду",ТабПозиции[[#This Row],[item]]="Посылка"),ТабПозиции[[#This Row],[deliverySumm]]+ТабПозиции[[#This Row],[deliveryPost]],SUM(N1237:P1237))</f>
        <v>501</v>
      </c>
      <c r="R1237" s="41">
        <v>501</v>
      </c>
      <c r="S1237" s="46">
        <f>ТабПозиции[[#This Row],[totalSumm]]-ТабПозиции[[#This Row],[payment]]</f>
        <v>0</v>
      </c>
      <c r="T1237" s="18" t="s">
        <v>970</v>
      </c>
      <c r="U1237" s="40" t="s">
        <v>545</v>
      </c>
      <c r="V1237" s="40" t="str">
        <f>IF(AND(ТабПозиции[[#This Row],[Остаток]]=0,ТабПозиции[[#This Row],[Заказан]]="Да"),"Да","Нет")</f>
        <v>Да</v>
      </c>
      <c r="W1237" s="40" t="s">
        <v>545</v>
      </c>
      <c r="X1237" s="3"/>
      <c r="Y1237"/>
    </row>
    <row r="1238" spans="1:25" hidden="1" x14ac:dyDescent="0.25">
      <c r="A1238" s="10">
        <v>334</v>
      </c>
      <c r="B1238" s="1">
        <f>IFERROR(VLOOKUP(ТабПозиции[[#This Row],[orderNum]],ТабЗаказы[#Data],MATCH(B$7,ТабЗаказы[#Headers],0),0),"")</f>
        <v>45604</v>
      </c>
      <c r="C1238" t="str">
        <f>MONTH(ТабПозиции[[#This Row],[date]])&amp;"/"&amp;YEAR(ТабПозиции[[#This Row],[date]])</f>
        <v>11/2024</v>
      </c>
      <c r="D1238" s="1" t="str">
        <f>IFERROR(VLOOKUP(ТабПозиции[[#This Row],[orderNum]],ТабЗаказы[#Data],MATCH(D$7,ТабЗаказы[#Headers],0),0),"")</f>
        <v/>
      </c>
      <c r="E1238" s="1" t="str">
        <f>IFERROR(VLOOKUP(ТабПозиции[[#This Row],[orderNum]],ТабЗаказы[#Data],MATCH(E$7,ТабЗаказы[#Headers],0),0),"")</f>
        <v/>
      </c>
      <c r="F1238" s="16" t="s">
        <v>1584</v>
      </c>
      <c r="G1238" s="40" t="s">
        <v>545</v>
      </c>
      <c r="I1238" s="18">
        <v>45606</v>
      </c>
      <c r="J1238" s="10">
        <v>1</v>
      </c>
      <c r="K1238" s="10">
        <v>877</v>
      </c>
      <c r="L1238">
        <f>ТабПозиции[[#This Row],[discountPrice]]*ТабПозиции[[#This Row],[quantity]]</f>
        <v>877</v>
      </c>
      <c r="M1238" s="10">
        <v>934</v>
      </c>
      <c r="N1238">
        <f t="shared" si="23"/>
        <v>934</v>
      </c>
      <c r="P12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Row],[orderNum]],ТабПозиции[orderSumm])&gt;1500),ABS(N1238*VLOOKUP(ТабПозиции[[#This Row],[orderNum]],ТабЗаказы[#Data],MATCH("Percent",ТабЗаказы[#Headers],0),0))/100,200/COUNTIF(ТабПозиции[orderNum],ТабПозиции[[#This Row],[orderNum]])),0),"")</f>
        <v>93</v>
      </c>
      <c r="Q1238">
        <f>IF(OR(ТабПозиции[[#This Row],[item]]="По штрихкоду",ТабПозиции[[#This Row],[item]]="Посылка"),ТабПозиции[[#This Row],[deliverySumm]]+ТабПозиции[[#This Row],[deliveryPost]],SUM(N1238:P1238))</f>
        <v>1027</v>
      </c>
      <c r="R1238" s="41">
        <v>1027</v>
      </c>
      <c r="S1238" s="46">
        <f>ТабПозиции[[#This Row],[totalSumm]]-ТабПозиции[[#This Row],[payment]]</f>
        <v>0</v>
      </c>
      <c r="T1238" s="18" t="s">
        <v>970</v>
      </c>
      <c r="U1238" s="40" t="s">
        <v>545</v>
      </c>
      <c r="V1238" s="40" t="str">
        <f>IF(AND(ТабПозиции[[#This Row],[Остаток]]=0,ТабПозиции[[#This Row],[Заказан]]="Да"),"Да","Нет")</f>
        <v>Да</v>
      </c>
      <c r="W1238" s="40" t="s">
        <v>545</v>
      </c>
      <c r="X1238" s="3"/>
      <c r="Y1238"/>
    </row>
    <row r="1239" spans="1:25" hidden="1" x14ac:dyDescent="0.25">
      <c r="A1239" s="10">
        <v>334</v>
      </c>
      <c r="B1239" s="1">
        <f>IFERROR(VLOOKUP(ТабПозиции[[#This Row],[orderNum]],ТабЗаказы[#Data],MATCH(B$7,ТабЗаказы[#Headers],0),0),"")</f>
        <v>45604</v>
      </c>
      <c r="C1239" t="str">
        <f>MONTH(ТабПозиции[[#This Row],[date]])&amp;"/"&amp;YEAR(ТабПозиции[[#This Row],[date]])</f>
        <v>11/2024</v>
      </c>
      <c r="D1239" s="1" t="str">
        <f>IFERROR(VLOOKUP(ТабПозиции[[#This Row],[orderNum]],ТабЗаказы[#Data],MATCH(D$7,ТабЗаказы[#Headers],0),0),"")</f>
        <v/>
      </c>
      <c r="E1239" s="1" t="str">
        <f>IFERROR(VLOOKUP(ТабПозиции[[#This Row],[orderNum]],ТабЗаказы[#Data],MATCH(E$7,ТабЗаказы[#Headers],0),0),"")</f>
        <v/>
      </c>
      <c r="F1239" s="16" t="s">
        <v>1754</v>
      </c>
      <c r="G1239" s="40" t="s">
        <v>545</v>
      </c>
      <c r="I1239" s="18">
        <v>45610</v>
      </c>
      <c r="J1239" s="10">
        <v>1</v>
      </c>
      <c r="K1239" s="10">
        <v>795</v>
      </c>
      <c r="L1239">
        <f>ТабПозиции[[#This Row],[discountPrice]]*ТабПозиции[[#This Row],[quantity]]</f>
        <v>795</v>
      </c>
      <c r="M1239" s="10">
        <v>846</v>
      </c>
      <c r="N1239">
        <f t="shared" ref="N1239:N1291" si="24">M1239*J1239</f>
        <v>846</v>
      </c>
      <c r="P12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Row],[orderNum]],ТабПозиции[orderSumm])&gt;1500),ABS(N1239*VLOOKUP(ТабПозиции[[#This Row],[orderNum]],ТабЗаказы[#Data],MATCH("Percent",ТабЗаказы[#Headers],0),0))/100,200/COUNTIF(ТабПозиции[orderNum],ТабПозиции[[#This Row],[orderNum]])),0),"")</f>
        <v>85</v>
      </c>
      <c r="Q1239">
        <f>IF(OR(ТабПозиции[[#This Row],[item]]="По штрихкоду",ТабПозиции[[#This Row],[item]]="Посылка"),ТабПозиции[[#This Row],[deliverySumm]]+ТабПозиции[[#This Row],[deliveryPost]],SUM(N1239:P1239))</f>
        <v>931</v>
      </c>
      <c r="R1239" s="41">
        <v>931</v>
      </c>
      <c r="S1239" s="46">
        <f>ТабПозиции[[#This Row],[totalSumm]]-ТабПозиции[[#This Row],[payment]]</f>
        <v>0</v>
      </c>
      <c r="T1239" s="18" t="s">
        <v>970</v>
      </c>
      <c r="U1239" s="40" t="s">
        <v>545</v>
      </c>
      <c r="V1239" s="40" t="str">
        <f>IF(AND(ТабПозиции[[#This Row],[Остаток]]=0,ТабПозиции[[#This Row],[Заказан]]="Да"),"Да","Нет")</f>
        <v>Да</v>
      </c>
      <c r="W1239" s="40" t="s">
        <v>545</v>
      </c>
      <c r="X1239" s="3"/>
      <c r="Y1239"/>
    </row>
    <row r="1240" spans="1:25" hidden="1" x14ac:dyDescent="0.25">
      <c r="A1240" s="10">
        <v>334</v>
      </c>
      <c r="B1240" s="1">
        <f>IFERROR(VLOOKUP(ТабПозиции[[#This Row],[orderNum]],ТабЗаказы[#Data],MATCH(B$7,ТабЗаказы[#Headers],0),0),"")</f>
        <v>45604</v>
      </c>
      <c r="C1240" t="str">
        <f>MONTH(ТабПозиции[[#This Row],[date]])&amp;"/"&amp;YEAR(ТабПозиции[[#This Row],[date]])</f>
        <v>11/2024</v>
      </c>
      <c r="D1240" s="1" t="str">
        <f>IFERROR(VLOOKUP(ТабПозиции[[#This Row],[orderNum]],ТабЗаказы[#Data],MATCH(D$7,ТабЗаказы[#Headers],0),0),"")</f>
        <v/>
      </c>
      <c r="E1240" s="1" t="str">
        <f>IFERROR(VLOOKUP(ТабПозиции[[#This Row],[orderNum]],ТабЗаказы[#Data],MATCH(E$7,ТабЗаказы[#Headers],0),0),"")</f>
        <v/>
      </c>
      <c r="F1240" s="16" t="s">
        <v>1755</v>
      </c>
      <c r="G1240" s="40" t="s">
        <v>545</v>
      </c>
      <c r="I1240" s="18">
        <v>45607</v>
      </c>
      <c r="J1240" s="10">
        <v>1</v>
      </c>
      <c r="K1240" s="10">
        <v>203</v>
      </c>
      <c r="L1240">
        <f>ТабПозиции[[#This Row],[discountPrice]]*ТабПозиции[[#This Row],[quantity]]</f>
        <v>203</v>
      </c>
      <c r="M1240" s="10">
        <v>216</v>
      </c>
      <c r="N1240">
        <f t="shared" si="24"/>
        <v>216</v>
      </c>
      <c r="P12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Row],[orderNum]],ТабПозиции[orderSumm])&gt;1500),ABS(N1240*VLOOKUP(ТабПозиции[[#This Row],[orderNum]],ТабЗаказы[#Data],MATCH("Percent",ТабЗаказы[#Headers],0),0))/100,200/COUNTIF(ТабПозиции[orderNum],ТабПозиции[[#This Row],[orderNum]])),0),"")</f>
        <v>22</v>
      </c>
      <c r="Q1240">
        <f>IF(OR(ТабПозиции[[#This Row],[item]]="По штрихкоду",ТабПозиции[[#This Row],[item]]="Посылка"),ТабПозиции[[#This Row],[deliverySumm]]+ТабПозиции[[#This Row],[deliveryPost]],SUM(N1240:P1240))</f>
        <v>238</v>
      </c>
      <c r="R1240" s="41">
        <v>238</v>
      </c>
      <c r="S1240" s="46">
        <f>ТабПозиции[[#This Row],[totalSumm]]-ТабПозиции[[#This Row],[payment]]</f>
        <v>0</v>
      </c>
      <c r="T1240" s="18" t="s">
        <v>970</v>
      </c>
      <c r="U1240" s="40" t="s">
        <v>545</v>
      </c>
      <c r="V1240" s="40" t="str">
        <f>IF(AND(ТабПозиции[[#This Row],[Остаток]]=0,ТабПозиции[[#This Row],[Заказан]]="Да"),"Да","Нет")</f>
        <v>Да</v>
      </c>
      <c r="W1240" s="40" t="s">
        <v>545</v>
      </c>
      <c r="X1240" s="3"/>
      <c r="Y1240"/>
    </row>
    <row r="1241" spans="1:25" hidden="1" x14ac:dyDescent="0.25">
      <c r="A1241" s="10">
        <v>334</v>
      </c>
      <c r="B1241" s="1">
        <f>IFERROR(VLOOKUP(ТабПозиции[[#This Row],[orderNum]],ТабЗаказы[#Data],MATCH(B$7,ТабЗаказы[#Headers],0),0),"")</f>
        <v>45604</v>
      </c>
      <c r="C1241" t="str">
        <f>MONTH(ТабПозиции[[#This Row],[date]])&amp;"/"&amp;YEAR(ТабПозиции[[#This Row],[date]])</f>
        <v>11/2024</v>
      </c>
      <c r="D1241" s="1" t="str">
        <f>IFERROR(VLOOKUP(ТабПозиции[[#This Row],[orderNum]],ТабЗаказы[#Data],MATCH(D$7,ТабЗаказы[#Headers],0),0),"")</f>
        <v/>
      </c>
      <c r="E1241" s="1" t="str">
        <f>IFERROR(VLOOKUP(ТабПозиции[[#This Row],[orderNum]],ТабЗаказы[#Data],MATCH(E$7,ТабЗаказы[#Headers],0),0),"")</f>
        <v/>
      </c>
      <c r="F1241" s="16" t="s">
        <v>1756</v>
      </c>
      <c r="G1241" s="40" t="s">
        <v>545</v>
      </c>
      <c r="I1241" s="18">
        <v>45609</v>
      </c>
      <c r="J1241" s="10">
        <v>1</v>
      </c>
      <c r="K1241" s="10">
        <v>675</v>
      </c>
      <c r="L1241">
        <f>ТабПозиции[[#This Row],[discountPrice]]*ТабПозиции[[#This Row],[quantity]]</f>
        <v>675</v>
      </c>
      <c r="M1241" s="10">
        <v>719</v>
      </c>
      <c r="N1241">
        <f t="shared" si="24"/>
        <v>719</v>
      </c>
      <c r="P12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Row],[orderNum]],ТабПозиции[orderSumm])&gt;1500),ABS(N1241*VLOOKUP(ТабПозиции[[#This Row],[orderNum]],ТабЗаказы[#Data],MATCH("Percent",ТабЗаказы[#Headers],0),0))/100,200/COUNTIF(ТабПозиции[orderNum],ТабПозиции[[#This Row],[orderNum]])),0),"")</f>
        <v>72</v>
      </c>
      <c r="Q1241">
        <f>IF(OR(ТабПозиции[[#This Row],[item]]="По штрихкоду",ТабПозиции[[#This Row],[item]]="Посылка"),ТабПозиции[[#This Row],[deliverySumm]]+ТабПозиции[[#This Row],[deliveryPost]],SUM(N1241:P1241))</f>
        <v>791</v>
      </c>
      <c r="R1241" s="41">
        <v>791</v>
      </c>
      <c r="S1241" s="46">
        <f>ТабПозиции[[#This Row],[totalSumm]]-ТабПозиции[[#This Row],[payment]]</f>
        <v>0</v>
      </c>
      <c r="T1241" s="18" t="s">
        <v>970</v>
      </c>
      <c r="U1241" s="40" t="s">
        <v>545</v>
      </c>
      <c r="V1241" s="40" t="str">
        <f>IF(AND(ТабПозиции[[#This Row],[Остаток]]=0,ТабПозиции[[#This Row],[Заказан]]="Да"),"Да","Нет")</f>
        <v>Да</v>
      </c>
      <c r="W1241" s="40" t="s">
        <v>545</v>
      </c>
      <c r="X1241" s="3"/>
      <c r="Y1241"/>
    </row>
    <row r="1242" spans="1:25" hidden="1" x14ac:dyDescent="0.25">
      <c r="A1242" s="10">
        <v>334</v>
      </c>
      <c r="B1242" s="1">
        <f>IFERROR(VLOOKUP(ТабПозиции[[#This Row],[orderNum]],ТабЗаказы[#Data],MATCH(B$7,ТабЗаказы[#Headers],0),0),"")</f>
        <v>45604</v>
      </c>
      <c r="C1242" t="str">
        <f>MONTH(ТабПозиции[[#This Row],[date]])&amp;"/"&amp;YEAR(ТабПозиции[[#This Row],[date]])</f>
        <v>11/2024</v>
      </c>
      <c r="D1242" s="1" t="str">
        <f>IFERROR(VLOOKUP(ТабПозиции[[#This Row],[orderNum]],ТабЗаказы[#Data],MATCH(D$7,ТабЗаказы[#Headers],0),0),"")</f>
        <v/>
      </c>
      <c r="E1242" s="1" t="str">
        <f>IFERROR(VLOOKUP(ТабПозиции[[#This Row],[orderNum]],ТабЗаказы[#Data],MATCH(E$7,ТабЗаказы[#Headers],0),0),"")</f>
        <v/>
      </c>
      <c r="F1242" s="16" t="s">
        <v>1757</v>
      </c>
      <c r="G1242" s="40" t="s">
        <v>545</v>
      </c>
      <c r="I1242" s="18">
        <v>45607</v>
      </c>
      <c r="J1242" s="10">
        <v>1</v>
      </c>
      <c r="K1242" s="10">
        <v>1298</v>
      </c>
      <c r="L1242">
        <f>ТабПозиции[[#This Row],[discountPrice]]*ТабПозиции[[#This Row],[quantity]]</f>
        <v>1298</v>
      </c>
      <c r="M1242" s="10">
        <v>1381</v>
      </c>
      <c r="N1242">
        <f t="shared" si="24"/>
        <v>1381</v>
      </c>
      <c r="P12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Row],[orderNum]],ТабПозиции[orderSumm])&gt;1500),ABS(N1242*VLOOKUP(ТабПозиции[[#This Row],[orderNum]],ТабЗаказы[#Data],MATCH("Percent",ТабЗаказы[#Headers],0),0))/100,200/COUNTIF(ТабПозиции[orderNum],ТабПозиции[[#This Row],[orderNum]])),0),"")</f>
        <v>138</v>
      </c>
      <c r="Q1242">
        <f>IF(OR(ТабПозиции[[#This Row],[item]]="По штрихкоду",ТабПозиции[[#This Row],[item]]="Посылка"),ТабПозиции[[#This Row],[deliverySumm]]+ТабПозиции[[#This Row],[deliveryPost]],SUM(N1242:P1242))</f>
        <v>1519</v>
      </c>
      <c r="R1242" s="41">
        <v>1519</v>
      </c>
      <c r="S1242" s="46">
        <f>ТабПозиции[[#This Row],[totalSumm]]-ТабПозиции[[#This Row],[payment]]</f>
        <v>0</v>
      </c>
      <c r="T1242" s="18" t="s">
        <v>970</v>
      </c>
      <c r="U1242" s="40" t="s">
        <v>545</v>
      </c>
      <c r="V1242" s="40" t="str">
        <f>IF(AND(ТабПозиции[[#This Row],[Остаток]]=0,ТабПозиции[[#This Row],[Заказан]]="Да"),"Да","Нет")</f>
        <v>Да</v>
      </c>
      <c r="W1242" s="40" t="s">
        <v>545</v>
      </c>
      <c r="X1242" s="3"/>
      <c r="Y1242"/>
    </row>
    <row r="1243" spans="1:25" hidden="1" x14ac:dyDescent="0.25">
      <c r="A1243" s="10">
        <v>334</v>
      </c>
      <c r="B1243" s="1">
        <f>IFERROR(VLOOKUP(ТабПозиции[[#This Row],[orderNum]],ТабЗаказы[#Data],MATCH(B$7,ТабЗаказы[#Headers],0),0),"")</f>
        <v>45604</v>
      </c>
      <c r="C1243" t="str">
        <f>MONTH(ТабПозиции[[#This Row],[date]])&amp;"/"&amp;YEAR(ТабПозиции[[#This Row],[date]])</f>
        <v>11/2024</v>
      </c>
      <c r="D1243" s="1" t="str">
        <f>IFERROR(VLOOKUP(ТабПозиции[[#This Row],[orderNum]],ТабЗаказы[#Data],MATCH(D$7,ТабЗаказы[#Headers],0),0),"")</f>
        <v/>
      </c>
      <c r="E1243" s="1" t="str">
        <f>IFERROR(VLOOKUP(ТабПозиции[[#This Row],[orderNum]],ТабЗаказы[#Data],MATCH(E$7,ТабЗаказы[#Headers],0),0),"")</f>
        <v/>
      </c>
      <c r="F1243" s="16" t="s">
        <v>1757</v>
      </c>
      <c r="G1243" s="40" t="s">
        <v>545</v>
      </c>
      <c r="I1243" s="18">
        <v>45606</v>
      </c>
      <c r="J1243" s="10">
        <v>1</v>
      </c>
      <c r="K1243" s="10">
        <v>1095</v>
      </c>
      <c r="L1243">
        <f>ТабПозиции[[#This Row],[discountPrice]]*ТабПозиции[[#This Row],[quantity]]</f>
        <v>1095</v>
      </c>
      <c r="M1243" s="10">
        <v>1165</v>
      </c>
      <c r="N1243">
        <f t="shared" si="24"/>
        <v>1165</v>
      </c>
      <c r="P12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Row],[orderNum]],ТабПозиции[orderSumm])&gt;1500),ABS(N1243*VLOOKUP(ТабПозиции[[#This Row],[orderNum]],ТабЗаказы[#Data],MATCH("Percent",ТабЗаказы[#Headers],0),0))/100,200/COUNTIF(ТабПозиции[orderNum],ТабПозиции[[#This Row],[orderNum]])),0),"")</f>
        <v>117</v>
      </c>
      <c r="Q1243">
        <f>IF(OR(ТабПозиции[[#This Row],[item]]="По штрихкоду",ТабПозиции[[#This Row],[item]]="Посылка"),ТабПозиции[[#This Row],[deliverySumm]]+ТабПозиции[[#This Row],[deliveryPost]],SUM(N1243:P1243))</f>
        <v>1282</v>
      </c>
      <c r="R1243" s="41">
        <v>1282</v>
      </c>
      <c r="S1243" s="46">
        <f>ТабПозиции[[#This Row],[totalSumm]]-ТабПозиции[[#This Row],[payment]]</f>
        <v>0</v>
      </c>
      <c r="T1243" s="18" t="s">
        <v>970</v>
      </c>
      <c r="U1243" s="40" t="s">
        <v>545</v>
      </c>
      <c r="V1243" s="40" t="str">
        <f>IF(AND(ТабПозиции[[#This Row],[Остаток]]=0,ТабПозиции[[#This Row],[Заказан]]="Да"),"Да","Нет")</f>
        <v>Да</v>
      </c>
      <c r="W1243" s="40" t="s">
        <v>545</v>
      </c>
      <c r="X1243" s="3"/>
      <c r="Y1243"/>
    </row>
    <row r="1244" spans="1:25" hidden="1" x14ac:dyDescent="0.25">
      <c r="A1244" s="10">
        <v>334</v>
      </c>
      <c r="B1244" s="1">
        <f>IFERROR(VLOOKUP(ТабПозиции[[#This Row],[orderNum]],ТабЗаказы[#Data],MATCH(B$7,ТабЗаказы[#Headers],0),0),"")</f>
        <v>45604</v>
      </c>
      <c r="C1244" t="str">
        <f>MONTH(ТабПозиции[[#This Row],[date]])&amp;"/"&amp;YEAR(ТабПозиции[[#This Row],[date]])</f>
        <v>11/2024</v>
      </c>
      <c r="D1244" s="1" t="str">
        <f>IFERROR(VLOOKUP(ТабПозиции[[#This Row],[orderNum]],ТабЗаказы[#Data],MATCH(D$7,ТабЗаказы[#Headers],0),0),"")</f>
        <v/>
      </c>
      <c r="E1244" s="1" t="str">
        <f>IFERROR(VLOOKUP(ТабПозиции[[#This Row],[orderNum]],ТабЗаказы[#Data],MATCH(E$7,ТабЗаказы[#Headers],0),0),"")</f>
        <v/>
      </c>
      <c r="F1244" s="16" t="s">
        <v>1758</v>
      </c>
      <c r="G1244" s="40" t="s">
        <v>545</v>
      </c>
      <c r="I1244" s="18">
        <v>45607</v>
      </c>
      <c r="J1244" s="10">
        <v>1</v>
      </c>
      <c r="K1244" s="10">
        <v>523</v>
      </c>
      <c r="L1244">
        <f>ТабПозиции[[#This Row],[discountPrice]]*ТабПозиции[[#This Row],[quantity]]</f>
        <v>523</v>
      </c>
      <c r="M1244" s="10">
        <v>575</v>
      </c>
      <c r="N1244">
        <f t="shared" si="24"/>
        <v>575</v>
      </c>
      <c r="P12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Row],[orderNum]],ТабПозиции[orderSumm])&gt;1500),ABS(N1244*VLOOKUP(ТабПозиции[[#This Row],[orderNum]],ТабЗаказы[#Data],MATCH("Percent",ТабЗаказы[#Headers],0),0))/100,200/COUNTIF(ТабПозиции[orderNum],ТабПозиции[[#This Row],[orderNum]])),0),"")</f>
        <v>58</v>
      </c>
      <c r="Q1244">
        <f>IF(OR(ТабПозиции[[#This Row],[item]]="По штрихкоду",ТабПозиции[[#This Row],[item]]="Посылка"),ТабПозиции[[#This Row],[deliverySumm]]+ТабПозиции[[#This Row],[deliveryPost]],SUM(N1244:P1244))</f>
        <v>633</v>
      </c>
      <c r="R1244" s="41">
        <v>633</v>
      </c>
      <c r="S1244" s="46">
        <f>ТабПозиции[[#This Row],[totalSumm]]-ТабПозиции[[#This Row],[payment]]</f>
        <v>0</v>
      </c>
      <c r="T1244" s="18" t="s">
        <v>970</v>
      </c>
      <c r="U1244" s="40" t="s">
        <v>545</v>
      </c>
      <c r="V1244" s="40" t="str">
        <f>IF(AND(ТабПозиции[[#This Row],[Остаток]]=0,ТабПозиции[[#This Row],[Заказан]]="Да"),"Да","Нет")</f>
        <v>Да</v>
      </c>
      <c r="W1244" s="40" t="s">
        <v>545</v>
      </c>
      <c r="X1244" s="3"/>
      <c r="Y1244"/>
    </row>
    <row r="1245" spans="1:25" hidden="1" x14ac:dyDescent="0.25">
      <c r="A1245" s="10">
        <v>334</v>
      </c>
      <c r="B1245" s="1">
        <f>IFERROR(VLOOKUP(ТабПозиции[[#This Row],[orderNum]],ТабЗаказы[#Data],MATCH(B$7,ТабЗаказы[#Headers],0),0),"")</f>
        <v>45604</v>
      </c>
      <c r="C1245" t="str">
        <f>MONTH(ТабПозиции[[#This Row],[date]])&amp;"/"&amp;YEAR(ТабПозиции[[#This Row],[date]])</f>
        <v>11/2024</v>
      </c>
      <c r="D1245" s="1" t="str">
        <f>IFERROR(VLOOKUP(ТабПозиции[[#This Row],[orderNum]],ТабЗаказы[#Data],MATCH(D$7,ТабЗаказы[#Headers],0),0),"")</f>
        <v/>
      </c>
      <c r="E1245" s="1" t="str">
        <f>IFERROR(VLOOKUP(ТабПозиции[[#This Row],[orderNum]],ТабЗаказы[#Data],MATCH(E$7,ТабЗаказы[#Headers],0),0),"")</f>
        <v/>
      </c>
      <c r="F1245" s="16" t="s">
        <v>1759</v>
      </c>
      <c r="G1245" s="40" t="s">
        <v>545</v>
      </c>
      <c r="I1245" s="18">
        <v>45607</v>
      </c>
      <c r="J1245" s="10">
        <v>1</v>
      </c>
      <c r="K1245" s="10">
        <v>300</v>
      </c>
      <c r="L1245">
        <f>ТабПозиции[[#This Row],[discountPrice]]*ТабПозиции[[#This Row],[quantity]]</f>
        <v>300</v>
      </c>
      <c r="M1245" s="10">
        <v>320</v>
      </c>
      <c r="N1245">
        <f t="shared" si="24"/>
        <v>320</v>
      </c>
      <c r="P12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Row],[orderNum]],ТабПозиции[orderSumm])&gt;1500),ABS(N1245*VLOOKUP(ТабПозиции[[#This Row],[orderNum]],ТабЗаказы[#Data],MATCH("Percent",ТабЗаказы[#Headers],0),0))/100,200/COUNTIF(ТабПозиции[orderNum],ТабПозиции[[#This Row],[orderNum]])),0),"")</f>
        <v>32</v>
      </c>
      <c r="Q1245">
        <f>IF(OR(ТабПозиции[[#This Row],[item]]="По штрихкоду",ТабПозиции[[#This Row],[item]]="Посылка"),ТабПозиции[[#This Row],[deliverySumm]]+ТабПозиции[[#This Row],[deliveryPost]],SUM(N1245:P1245))</f>
        <v>352</v>
      </c>
      <c r="R1245" s="41">
        <v>352</v>
      </c>
      <c r="S1245" s="46">
        <f>ТабПозиции[[#This Row],[totalSumm]]-ТабПозиции[[#This Row],[payment]]</f>
        <v>0</v>
      </c>
      <c r="T1245" s="18" t="s">
        <v>970</v>
      </c>
      <c r="U1245" s="40" t="s">
        <v>545</v>
      </c>
      <c r="V1245" s="40" t="str">
        <f>IF(AND(ТабПозиции[[#This Row],[Остаток]]=0,ТабПозиции[[#This Row],[Заказан]]="Да"),"Да","Нет")</f>
        <v>Да</v>
      </c>
      <c r="W1245" s="40" t="s">
        <v>545</v>
      </c>
      <c r="X1245" s="3"/>
      <c r="Y1245"/>
    </row>
    <row r="1246" spans="1:25" hidden="1" x14ac:dyDescent="0.25">
      <c r="A1246" s="10">
        <v>334</v>
      </c>
      <c r="B1246" s="1">
        <f>IFERROR(VLOOKUP(ТабПозиции[[#This Row],[orderNum]],ТабЗаказы[#Data],MATCH(B$7,ТабЗаказы[#Headers],0),0),"")</f>
        <v>45604</v>
      </c>
      <c r="C1246" t="str">
        <f>MONTH(ТабПозиции[[#This Row],[date]])&amp;"/"&amp;YEAR(ТабПозиции[[#This Row],[date]])</f>
        <v>11/2024</v>
      </c>
      <c r="D1246" s="1" t="str">
        <f>IFERROR(VLOOKUP(ТабПозиции[[#This Row],[orderNum]],ТабЗаказы[#Data],MATCH(D$7,ТабЗаказы[#Headers],0),0),"")</f>
        <v/>
      </c>
      <c r="E1246" s="1" t="str">
        <f>IFERROR(VLOOKUP(ТабПозиции[[#This Row],[orderNum]],ТабЗаказы[#Data],MATCH(E$7,ТабЗаказы[#Headers],0),0),"")</f>
        <v/>
      </c>
      <c r="F1246" s="16" t="s">
        <v>1760</v>
      </c>
      <c r="G1246" s="40" t="s">
        <v>545</v>
      </c>
      <c r="I1246" s="18">
        <v>45607</v>
      </c>
      <c r="J1246" s="10">
        <v>1</v>
      </c>
      <c r="K1246" s="10">
        <v>423</v>
      </c>
      <c r="L1246">
        <f>ТабПозиции[[#This Row],[discountPrice]]*ТабПозиции[[#This Row],[quantity]]</f>
        <v>423</v>
      </c>
      <c r="M1246" s="10">
        <v>451</v>
      </c>
      <c r="N1246">
        <f t="shared" si="24"/>
        <v>451</v>
      </c>
      <c r="P12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Row],[orderNum]],ТабПозиции[orderSumm])&gt;1500),ABS(N1246*VLOOKUP(ТабПозиции[[#This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246">
        <f>IF(OR(ТабПозиции[[#This Row],[item]]="По штрихкоду",ТабПозиции[[#This Row],[item]]="Посылка"),ТабПозиции[[#This Row],[deliverySumm]]+ТабПозиции[[#This Row],[deliveryPost]],SUM(N1246:P1246))</f>
        <v>496</v>
      </c>
      <c r="R1246" s="41">
        <v>496</v>
      </c>
      <c r="S1246" s="46">
        <f>ТабПозиции[[#This Row],[totalSumm]]-ТабПозиции[[#This Row],[payment]]</f>
        <v>0</v>
      </c>
      <c r="T1246" s="18" t="s">
        <v>970</v>
      </c>
      <c r="U1246" s="40" t="s">
        <v>545</v>
      </c>
      <c r="V1246" s="40" t="str">
        <f>IF(AND(ТабПозиции[[#This Row],[Остаток]]=0,ТабПозиции[[#This Row],[Заказан]]="Да"),"Да","Нет")</f>
        <v>Да</v>
      </c>
      <c r="W1246" s="40" t="s">
        <v>545</v>
      </c>
      <c r="X1246" s="3"/>
      <c r="Y1246"/>
    </row>
    <row r="1247" spans="1:25" hidden="1" x14ac:dyDescent="0.25">
      <c r="A1247" s="10">
        <v>334</v>
      </c>
      <c r="B1247" s="1">
        <f>IFERROR(VLOOKUP(ТабПозиции[[#This Row],[orderNum]],ТабЗаказы[#Data],MATCH(B$7,ТабЗаказы[#Headers],0),0),"")</f>
        <v>45604</v>
      </c>
      <c r="C1247" t="str">
        <f>MONTH(ТабПозиции[[#This Row],[date]])&amp;"/"&amp;YEAR(ТабПозиции[[#This Row],[date]])</f>
        <v>11/2024</v>
      </c>
      <c r="D1247" s="1" t="str">
        <f>IFERROR(VLOOKUP(ТабПозиции[[#This Row],[orderNum]],ТабЗаказы[#Data],MATCH(D$7,ТабЗаказы[#Headers],0),0),"")</f>
        <v/>
      </c>
      <c r="E1247" s="1" t="str">
        <f>IFERROR(VLOOKUP(ТабПозиции[[#This Row],[orderNum]],ТабЗаказы[#Data],MATCH(E$7,ТабЗаказы[#Headers],0),0),"")</f>
        <v/>
      </c>
      <c r="F1247" s="16" t="s">
        <v>1761</v>
      </c>
      <c r="G1247" s="40" t="s">
        <v>545</v>
      </c>
      <c r="I1247" s="18">
        <v>45607</v>
      </c>
      <c r="J1247" s="10">
        <v>1</v>
      </c>
      <c r="K1247" s="10">
        <v>902</v>
      </c>
      <c r="L1247">
        <f>ТабПозиции[[#This Row],[discountPrice]]*ТабПозиции[[#This Row],[quantity]]</f>
        <v>902</v>
      </c>
      <c r="M1247" s="10">
        <v>948</v>
      </c>
      <c r="N1247">
        <f t="shared" si="24"/>
        <v>948</v>
      </c>
      <c r="P12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Row],[orderNum]],ТабПозиции[orderSumm])&gt;1500),ABS(N1247*VLOOKUP(ТабПозиции[[#This Row],[orderNum]],ТабЗаказы[#Data],MATCH("Percent",ТабЗаказы[#Headers],0),0))/100,200/COUNTIF(ТабПозиции[orderNum],ТабПозиции[[#This Row],[orderNum]])),0),"")</f>
        <v>95</v>
      </c>
      <c r="Q1247">
        <f>IF(OR(ТабПозиции[[#This Row],[item]]="По штрихкоду",ТабПозиции[[#This Row],[item]]="Посылка"),ТабПозиции[[#This Row],[deliverySumm]]+ТабПозиции[[#This Row],[deliveryPost]],SUM(N1247:P1247))</f>
        <v>1043</v>
      </c>
      <c r="R1247" s="41">
        <v>1043</v>
      </c>
      <c r="S1247" s="46">
        <f>ТабПозиции[[#This Row],[totalSumm]]-ТабПозиции[[#This Row],[payment]]</f>
        <v>0</v>
      </c>
      <c r="T1247" s="18" t="s">
        <v>970</v>
      </c>
      <c r="U1247" s="40" t="s">
        <v>545</v>
      </c>
      <c r="V1247" s="40" t="str">
        <f>IF(AND(ТабПозиции[[#This Row],[Остаток]]=0,ТабПозиции[[#This Row],[Заказан]]="Да"),"Да","Нет")</f>
        <v>Да</v>
      </c>
      <c r="W1247" s="40" t="s">
        <v>545</v>
      </c>
      <c r="X1247" s="3"/>
      <c r="Y1247"/>
    </row>
    <row r="1248" spans="1:25" hidden="1" x14ac:dyDescent="0.25">
      <c r="A1248" s="10">
        <v>335</v>
      </c>
      <c r="B1248" s="1">
        <f>IFERROR(VLOOKUP(ТабПозиции[[#This Row],[orderNum]],ТабЗаказы[#Data],MATCH(B$7,ТабЗаказы[#Headers],0),0),"")</f>
        <v>45607</v>
      </c>
      <c r="C1248" t="str">
        <f>MONTH(ТабПозиции[[#This Row],[date]])&amp;"/"&amp;YEAR(ТабПозиции[[#This Row],[date]])</f>
        <v>11/2024</v>
      </c>
      <c r="D1248" s="1" t="str">
        <f>IFERROR(VLOOKUP(ТабПозиции[[#This Row],[orderNum]],ТабЗаказы[#Data],MATCH(D$7,ТабЗаказы[#Headers],0),0),"")</f>
        <v/>
      </c>
      <c r="E1248" s="1" t="str">
        <f>IFERROR(VLOOKUP(ТабПозиции[[#This Row],[orderNum]],ТабЗаказы[#Data],MATCH(E$7,ТабЗаказы[#Headers],0),0),"")</f>
        <v/>
      </c>
      <c r="F1248" s="16" t="s">
        <v>1762</v>
      </c>
      <c r="G1248" s="40" t="s">
        <v>545</v>
      </c>
      <c r="I1248" s="18">
        <v>45636</v>
      </c>
      <c r="J1248" s="10">
        <v>1</v>
      </c>
      <c r="K1248" s="10">
        <v>971</v>
      </c>
      <c r="L1248">
        <f>ТабПозиции[[#This Row],[discountPrice]]*ТабПозиции[[#This Row],[quantity]]</f>
        <v>971</v>
      </c>
      <c r="M1248" s="10">
        <v>997</v>
      </c>
      <c r="N1248">
        <f t="shared" si="24"/>
        <v>997</v>
      </c>
      <c r="P12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Row],[orderNum]],ТабПозиции[orderSumm])&gt;1500),ABS(N1248*VLOOKUP(ТабПозиции[[#This Row],[orderNum]],ТабЗаказы[#Data],MATCH("Percent",ТабЗаказы[#Headers],0),0))/100,200/COUNTIF(ТабПозиции[orderNum],ТабПозиции[[#This Row],[orderNum]])),0),"")</f>
        <v>150</v>
      </c>
      <c r="Q1248">
        <f>IF(OR(ТабПозиции[[#This Row],[item]]="По штрихкоду",ТабПозиции[[#This Row],[item]]="Посылка"),ТабПозиции[[#This Row],[deliverySumm]]+ТабПозиции[[#This Row],[deliveryPost]],SUM(N1248:P1248))</f>
        <v>1147</v>
      </c>
      <c r="R1248" s="41">
        <v>1147</v>
      </c>
      <c r="S1248" s="46">
        <f>ТабПозиции[[#This Row],[totalSumm]]-ТабПозиции[[#This Row],[payment]]</f>
        <v>0</v>
      </c>
      <c r="T1248" s="18" t="s">
        <v>960</v>
      </c>
      <c r="U1248" s="40" t="s">
        <v>545</v>
      </c>
      <c r="V1248" s="40" t="str">
        <f>IF(AND(ТабПозиции[[#This Row],[Остаток]]=0,ТабПозиции[[#This Row],[Заказан]]="Да"),"Да","Нет")</f>
        <v>Да</v>
      </c>
      <c r="W1248" s="40" t="str">
        <f>IF(AND(ТабПозиции[[#This Row],[Остаток]]=0,ТабПозиции[[#This Row],[Заказан]]="Да"),"Да","Нет")</f>
        <v>Да</v>
      </c>
      <c r="X1248" s="3"/>
      <c r="Y1248"/>
    </row>
    <row r="1249" spans="1:25" hidden="1" x14ac:dyDescent="0.25">
      <c r="A1249" s="10">
        <v>335</v>
      </c>
      <c r="B1249" s="1">
        <f>IFERROR(VLOOKUP(ТабПозиции[[#This Row],[orderNum]],ТабЗаказы[#Data],MATCH(B$7,ТабЗаказы[#Headers],0),0),"")</f>
        <v>45607</v>
      </c>
      <c r="C1249" t="str">
        <f>MONTH(ТабПозиции[[#This Row],[date]])&amp;"/"&amp;YEAR(ТабПозиции[[#This Row],[date]])</f>
        <v>11/2024</v>
      </c>
      <c r="D1249" s="1" t="str">
        <f>IFERROR(VLOOKUP(ТабПозиции[[#This Row],[orderNum]],ТабЗаказы[#Data],MATCH(D$7,ТабЗаказы[#Headers],0),0),"")</f>
        <v/>
      </c>
      <c r="E1249" s="1" t="str">
        <f>IFERROR(VLOOKUP(ТабПозиции[[#This Row],[orderNum]],ТабЗаказы[#Data],MATCH(E$7,ТабЗаказы[#Headers],0),0),"")</f>
        <v/>
      </c>
      <c r="F1249" s="16" t="s">
        <v>1763</v>
      </c>
      <c r="G1249" s="40" t="s">
        <v>545</v>
      </c>
      <c r="I1249" s="18">
        <v>45611</v>
      </c>
      <c r="J1249" s="10">
        <v>0</v>
      </c>
      <c r="K1249" s="10">
        <v>848</v>
      </c>
      <c r="L1249">
        <f>ТабПозиции[[#This Row],[discountPrice]]*ТабПозиции[[#This Row],[quantity]]</f>
        <v>0</v>
      </c>
      <c r="M1249" s="10">
        <v>848</v>
      </c>
      <c r="N1249">
        <f t="shared" si="24"/>
        <v>0</v>
      </c>
      <c r="P12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Row],[orderNum]],ТабПозиции[orderSumm])&gt;1500),ABS(N1249*VLOOKUP(ТабПозиции[[#This Row],[orderNum]],ТабЗаказы[#Data],MATCH("Percent",ТабЗаказы[#Headers],0),0))/100,200/COUNTIF(ТабПозиции[orderNum],ТабПозиции[[#This Row],[orderNum]])),0),"")</f>
        <v>0</v>
      </c>
      <c r="Q1249">
        <f>IF(OR(ТабПозиции[[#This Row],[item]]="По штрихкоду",ТабПозиции[[#This Row],[item]]="Посылка"),ТабПозиции[[#This Row],[deliverySumm]]+ТабПозиции[[#This Row],[deliveryPost]],SUM(N1249:P1249))</f>
        <v>0</v>
      </c>
      <c r="S1249" s="46">
        <f>ТабПозиции[[#This Row],[totalSumm]]-ТабПозиции[[#This Row],[payment]]</f>
        <v>0</v>
      </c>
      <c r="T1249" s="18" t="s">
        <v>1764</v>
      </c>
      <c r="U1249" s="40" t="s">
        <v>545</v>
      </c>
      <c r="V1249" s="40" t="str">
        <f>IF(AND(ТабПозиции[[#This Row],[Остаток]]=0,ТабПозиции[[#This Row],[Заказан]]="Да"),"Да","Нет")</f>
        <v>Да</v>
      </c>
      <c r="W1249" s="40" t="s">
        <v>545</v>
      </c>
      <c r="X1249" s="3"/>
      <c r="Y1249"/>
    </row>
    <row r="1250" spans="1:25" hidden="1" x14ac:dyDescent="0.25">
      <c r="A1250" s="10">
        <v>335</v>
      </c>
      <c r="B1250" s="1">
        <f>IFERROR(VLOOKUP(ТабПозиции[[#This Row],[orderNum]],ТабЗаказы[#Data],MATCH(B$7,ТабЗаказы[#Headers],0),0),"")</f>
        <v>45607</v>
      </c>
      <c r="C1250" t="str">
        <f>MONTH(ТабПозиции[[#This Row],[date]])&amp;"/"&amp;YEAR(ТабПозиции[[#This Row],[date]])</f>
        <v>11/2024</v>
      </c>
      <c r="D1250" s="1" t="str">
        <f>IFERROR(VLOOKUP(ТабПозиции[[#This Row],[orderNum]],ТабЗаказы[#Data],MATCH(D$7,ТабЗаказы[#Headers],0),0),"")</f>
        <v/>
      </c>
      <c r="E1250" s="1" t="str">
        <f>IFERROR(VLOOKUP(ТабПозиции[[#This Row],[orderNum]],ТабЗаказы[#Data],MATCH(E$7,ТабЗаказы[#Headers],0),0),"")</f>
        <v/>
      </c>
      <c r="F1250" s="16" t="s">
        <v>1765</v>
      </c>
      <c r="G1250" s="40" t="s">
        <v>545</v>
      </c>
      <c r="I1250" s="18">
        <v>45608</v>
      </c>
      <c r="J1250" s="10">
        <v>1</v>
      </c>
      <c r="K1250" s="10">
        <v>1345</v>
      </c>
      <c r="L1250">
        <f>ТабПозиции[[#This Row],[discountPrice]]*ТабПозиции[[#This Row],[quantity]]</f>
        <v>1345</v>
      </c>
      <c r="M1250" s="10">
        <v>1453</v>
      </c>
      <c r="N1250">
        <f t="shared" si="24"/>
        <v>1453</v>
      </c>
      <c r="P12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Row],[orderNum]],ТабПозиции[orderSumm])&gt;1500),ABS(N1250*VLOOKUP(ТабПозиции[[#This Row],[orderNum]],ТабЗаказы[#Data],MATCH("Percent",ТабЗаказы[#Headers],0),0))/100,200/COUNTIF(ТабПозиции[orderNum],ТабПозиции[[#This Row],[orderNum]])),0),"")</f>
        <v>218</v>
      </c>
      <c r="Q1250">
        <f>IF(OR(ТабПозиции[[#This Row],[item]]="По штрихкоду",ТабПозиции[[#This Row],[item]]="Посылка"),ТабПозиции[[#This Row],[deliverySumm]]+ТабПозиции[[#This Row],[deliveryPost]],SUM(N1250:P1250))</f>
        <v>1671</v>
      </c>
      <c r="R1250" s="41">
        <v>1671</v>
      </c>
      <c r="S1250" s="46">
        <f>ТабПозиции[[#This Row],[totalSumm]]-ТабПозиции[[#This Row],[payment]]</f>
        <v>0</v>
      </c>
      <c r="T1250" s="18" t="s">
        <v>960</v>
      </c>
      <c r="U1250" s="40" t="s">
        <v>545</v>
      </c>
      <c r="V1250" s="40" t="str">
        <f>IF(AND(ТабПозиции[[#This Row],[Остаток]]=0,ТабПозиции[[#This Row],[Заказан]]="Да"),"Да","Нет")</f>
        <v>Да</v>
      </c>
      <c r="W1250" s="40" t="s">
        <v>545</v>
      </c>
      <c r="X1250" s="3"/>
      <c r="Y1250"/>
    </row>
    <row r="1251" spans="1:25" hidden="1" x14ac:dyDescent="0.25">
      <c r="A1251" s="10">
        <v>335</v>
      </c>
      <c r="B1251" s="1">
        <f>IFERROR(VLOOKUP(ТабПозиции[[#This Row],[orderNum]],ТабЗаказы[#Data],MATCH(B$7,ТабЗаказы[#Headers],0),0),"")</f>
        <v>45607</v>
      </c>
      <c r="C1251" t="str">
        <f>MONTH(ТабПозиции[[#This Row],[date]])&amp;"/"&amp;YEAR(ТабПозиции[[#This Row],[date]])</f>
        <v>11/2024</v>
      </c>
      <c r="D1251" s="1" t="str">
        <f>IFERROR(VLOOKUP(ТабПозиции[[#This Row],[orderNum]],ТабЗаказы[#Data],MATCH(D$7,ТабЗаказы[#Headers],0),0),"")</f>
        <v/>
      </c>
      <c r="E1251" s="1" t="str">
        <f>IFERROR(VLOOKUP(ТабПозиции[[#This Row],[orderNum]],ТабЗаказы[#Data],MATCH(E$7,ТабЗаказы[#Headers],0),0),"")</f>
        <v/>
      </c>
      <c r="F1251" s="16" t="s">
        <v>1766</v>
      </c>
      <c r="G1251" s="40" t="s">
        <v>545</v>
      </c>
      <c r="I1251" s="18">
        <v>45613</v>
      </c>
      <c r="J1251" s="10">
        <v>1</v>
      </c>
      <c r="K1251" s="10">
        <v>404</v>
      </c>
      <c r="L1251">
        <f>ТабПозиции[[#This Row],[discountPrice]]*ТабПозиции[[#This Row],[quantity]]</f>
        <v>404</v>
      </c>
      <c r="M1251" s="10">
        <v>439</v>
      </c>
      <c r="N1251">
        <f t="shared" si="24"/>
        <v>439</v>
      </c>
      <c r="P12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Row],[orderNum]],ТабПозиции[orderSumm])&gt;1500),ABS(N1251*VLOOKUP(ТабПозиции[[#This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251">
        <f>IF(OR(ТабПозиции[[#This Row],[item]]="По штрихкоду",ТабПозиции[[#This Row],[item]]="Посылка"),ТабПозиции[[#This Row],[deliverySumm]]+ТабПозиции[[#This Row],[deliveryPost]],SUM(N1251:P1251))</f>
        <v>505</v>
      </c>
      <c r="R1251" s="41">
        <v>505</v>
      </c>
      <c r="S1251" s="46">
        <f>ТабПозиции[[#This Row],[totalSumm]]-ТабПозиции[[#This Row],[payment]]</f>
        <v>0</v>
      </c>
      <c r="T1251" s="18" t="s">
        <v>960</v>
      </c>
      <c r="U1251" s="40" t="s">
        <v>545</v>
      </c>
      <c r="V1251" s="40" t="str">
        <f>IF(AND(ТабПозиции[[#This Row],[Остаток]]=0,ТабПозиции[[#This Row],[Заказан]]="Да"),"Да","Нет")</f>
        <v>Да</v>
      </c>
      <c r="W1251" s="40" t="str">
        <f>IF(AND(ТабПозиции[[#This Row],[Остаток]]=0,ТабПозиции[[#This Row],[Заказан]]="Да"),"Да","Нет")</f>
        <v>Да</v>
      </c>
      <c r="X1251" s="3"/>
      <c r="Y1251"/>
    </row>
    <row r="1252" spans="1:25" hidden="1" x14ac:dyDescent="0.25">
      <c r="A1252" s="10">
        <v>335</v>
      </c>
      <c r="B1252" s="1">
        <f>IFERROR(VLOOKUP(ТабПозиции[[#This Row],[orderNum]],ТабЗаказы[#Data],MATCH(B$7,ТабЗаказы[#Headers],0),0),"")</f>
        <v>45607</v>
      </c>
      <c r="C1252" t="str">
        <f>MONTH(ТабПозиции[[#This Row],[date]])&amp;"/"&amp;YEAR(ТабПозиции[[#This Row],[date]])</f>
        <v>11/2024</v>
      </c>
      <c r="D1252" s="1" t="str">
        <f>IFERROR(VLOOKUP(ТабПозиции[[#This Row],[orderNum]],ТабЗаказы[#Data],MATCH(D$7,ТабЗаказы[#Headers],0),0),"")</f>
        <v/>
      </c>
      <c r="E1252" s="1" t="str">
        <f>IFERROR(VLOOKUP(ТабПозиции[[#This Row],[orderNum]],ТабЗаказы[#Data],MATCH(E$7,ТабЗаказы[#Headers],0),0),"")</f>
        <v/>
      </c>
      <c r="F1252" s="16" t="s">
        <v>1767</v>
      </c>
      <c r="G1252" s="40" t="s">
        <v>545</v>
      </c>
      <c r="I1252" s="18">
        <v>45612</v>
      </c>
      <c r="J1252" s="10">
        <v>1</v>
      </c>
      <c r="K1252" s="10">
        <v>388</v>
      </c>
      <c r="L1252">
        <f>ТабПозиции[[#This Row],[discountPrice]]*ТабПозиции[[#This Row],[quantity]]</f>
        <v>388</v>
      </c>
      <c r="M1252" s="10">
        <v>421</v>
      </c>
      <c r="N1252">
        <f t="shared" si="24"/>
        <v>421</v>
      </c>
      <c r="P12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Row],[orderNum]],ТабПозиции[orderSumm])&gt;1500),ABS(N1252*VLOOKUP(ТабПозиции[[#This Row],[orderNum]],ТабЗаказы[#Data],MATCH("Percent",ТабЗаказы[#Headers],0),0))/100,200/COUNTIF(ТабПозиции[orderNum],ТабПозиции[[#This Row],[orderNum]])),0),"")</f>
        <v>63</v>
      </c>
      <c r="Q1252">
        <f>IF(OR(ТабПозиции[[#This Row],[item]]="По штрихкоду",ТабПозиции[[#This Row],[item]]="Посылка"),ТабПозиции[[#This Row],[deliverySumm]]+ТабПозиции[[#This Row],[deliveryPost]],SUM(N1252:P1252))</f>
        <v>484</v>
      </c>
      <c r="R1252" s="41">
        <v>484</v>
      </c>
      <c r="S1252" s="46">
        <f>ТабПозиции[[#This Row],[totalSumm]]-ТабПозиции[[#This Row],[payment]]</f>
        <v>0</v>
      </c>
      <c r="T1252" s="18" t="s">
        <v>960</v>
      </c>
      <c r="U1252" s="40" t="s">
        <v>545</v>
      </c>
      <c r="V1252" s="40" t="str">
        <f>IF(AND(ТабПозиции[[#This Row],[Остаток]]=0,ТабПозиции[[#This Row],[Заказан]]="Да"),"Да","Нет")</f>
        <v>Да</v>
      </c>
      <c r="W1252" s="40" t="str">
        <f>IF(AND(ТабПозиции[[#This Row],[Остаток]]=0,ТабПозиции[[#This Row],[Заказан]]="Да"),"Да","Нет")</f>
        <v>Да</v>
      </c>
      <c r="X1252" s="3"/>
      <c r="Y1252"/>
    </row>
    <row r="1253" spans="1:25" hidden="1" x14ac:dyDescent="0.25">
      <c r="A1253" s="10">
        <v>335</v>
      </c>
      <c r="B1253" s="1">
        <f>IFERROR(VLOOKUP(ТабПозиции[[#This Row],[orderNum]],ТабЗаказы[#Data],MATCH(B$7,ТабЗаказы[#Headers],0),0),"")</f>
        <v>45607</v>
      </c>
      <c r="C1253" t="str">
        <f>MONTH(ТабПозиции[[#This Row],[date]])&amp;"/"&amp;YEAR(ТабПозиции[[#This Row],[date]])</f>
        <v>11/2024</v>
      </c>
      <c r="D1253" s="1" t="str">
        <f>IFERROR(VLOOKUP(ТабПозиции[[#This Row],[orderNum]],ТабЗаказы[#Data],MATCH(D$7,ТабЗаказы[#Headers],0),0),"")</f>
        <v/>
      </c>
      <c r="E1253" s="1" t="str">
        <f>IFERROR(VLOOKUP(ТабПозиции[[#This Row],[orderNum]],ТабЗаказы[#Data],MATCH(E$7,ТабЗаказы[#Headers],0),0),"")</f>
        <v/>
      </c>
      <c r="F1253" s="16" t="s">
        <v>1768</v>
      </c>
      <c r="G1253" s="40" t="s">
        <v>545</v>
      </c>
      <c r="I1253" s="18">
        <v>45611</v>
      </c>
      <c r="J1253" s="10">
        <v>1</v>
      </c>
      <c r="K1253" s="10">
        <v>467</v>
      </c>
      <c r="L1253">
        <f>ТабПозиции[[#This Row],[discountPrice]]*ТабПозиции[[#This Row],[quantity]]</f>
        <v>467</v>
      </c>
      <c r="M1253" s="10">
        <v>506</v>
      </c>
      <c r="N1253">
        <f t="shared" si="24"/>
        <v>506</v>
      </c>
      <c r="P12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Row],[orderNum]],ТабПозиции[orderSumm])&gt;1500),ABS(N1253*VLOOKUP(ТабПозиции[[#This Row],[orderNum]],ТабЗаказы[#Data],MATCH("Percent",ТабЗаказы[#Headers],0),0))/100,200/COUNTIF(ТабПозиции[orderNum],ТабПозиции[[#This Row],[orderNum]])),0),"")</f>
        <v>76</v>
      </c>
      <c r="Q1253">
        <f>IF(OR(ТабПозиции[[#This Row],[item]]="По штрихкоду",ТабПозиции[[#This Row],[item]]="Посылка"),ТабПозиции[[#This Row],[deliverySumm]]+ТабПозиции[[#This Row],[deliveryPost]],SUM(N1253:P1253))</f>
        <v>582</v>
      </c>
      <c r="R1253" s="41">
        <v>582</v>
      </c>
      <c r="S1253" s="46">
        <f>ТабПозиции[[#This Row],[totalSumm]]-ТабПозиции[[#This Row],[payment]]</f>
        <v>0</v>
      </c>
      <c r="T1253" s="18" t="s">
        <v>960</v>
      </c>
      <c r="U1253" s="40" t="s">
        <v>545</v>
      </c>
      <c r="V1253" s="40" t="str">
        <f>IF(AND(ТабПозиции[[#This Row],[Остаток]]=0,ТабПозиции[[#This Row],[Заказан]]="Да"),"Да","Нет")</f>
        <v>Да</v>
      </c>
      <c r="W1253" s="40" t="str">
        <f>IF(AND(ТабПозиции[[#This Row],[Остаток]]=0,ТабПозиции[[#This Row],[Заказан]]="Да"),"Да","Нет")</f>
        <v>Да</v>
      </c>
      <c r="X1253" s="3"/>
      <c r="Y1253"/>
    </row>
    <row r="1254" spans="1:25" hidden="1" x14ac:dyDescent="0.25">
      <c r="A1254" s="10">
        <v>335</v>
      </c>
      <c r="B1254" s="1">
        <f>IFERROR(VLOOKUP(ТабПозиции[[#This Row],[orderNum]],ТабЗаказы[#Data],MATCH(B$7,ТабЗаказы[#Headers],0),0),"")</f>
        <v>45607</v>
      </c>
      <c r="C1254" t="str">
        <f>MONTH(ТабПозиции[[#This Row],[date]])&amp;"/"&amp;YEAR(ТабПозиции[[#This Row],[date]])</f>
        <v>11/2024</v>
      </c>
      <c r="D1254" s="1" t="str">
        <f>IFERROR(VLOOKUP(ТабПозиции[[#This Row],[orderNum]],ТабЗаказы[#Data],MATCH(D$7,ТабЗаказы[#Headers],0),0),"")</f>
        <v/>
      </c>
      <c r="E1254" s="1" t="str">
        <f>IFERROR(VLOOKUP(ТабПозиции[[#This Row],[orderNum]],ТабЗаказы[#Data],MATCH(E$7,ТабЗаказы[#Headers],0),0),"")</f>
        <v/>
      </c>
      <c r="F1254" s="16" t="s">
        <v>1769</v>
      </c>
      <c r="G1254" s="40" t="s">
        <v>545</v>
      </c>
      <c r="I1254" s="18">
        <v>45612</v>
      </c>
      <c r="J1254" s="10">
        <v>1</v>
      </c>
      <c r="K1254" s="10">
        <v>583</v>
      </c>
      <c r="L1254">
        <f>ТабПозиции[[#This Row],[discountPrice]]*ТабПозиции[[#This Row],[quantity]]</f>
        <v>583</v>
      </c>
      <c r="M1254" s="10">
        <v>632</v>
      </c>
      <c r="N1254">
        <f t="shared" si="24"/>
        <v>632</v>
      </c>
      <c r="P12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Row],[orderNum]],ТабПозиции[orderSumm])&gt;1500),ABS(N1254*VLOOKUP(ТабПозиции[[#This Row],[orderNum]],ТабЗаказы[#Data],MATCH("Percent",ТабЗаказы[#Headers],0),0))/100,200/COUNTIF(ТабПозиции[orderNum],ТабПозиции[[#This Row],[orderNum]])),0),"")</f>
        <v>95</v>
      </c>
      <c r="Q1254">
        <f>IF(OR(ТабПозиции[[#This Row],[item]]="По штрихкоду",ТабПозиции[[#This Row],[item]]="Посылка"),ТабПозиции[[#This Row],[deliverySumm]]+ТабПозиции[[#This Row],[deliveryPost]],SUM(N1254:P1254))</f>
        <v>727</v>
      </c>
      <c r="R1254" s="41">
        <v>727</v>
      </c>
      <c r="S1254" s="46">
        <f>ТабПозиции[[#This Row],[totalSumm]]-ТабПозиции[[#This Row],[payment]]</f>
        <v>0</v>
      </c>
      <c r="T1254" s="18" t="s">
        <v>960</v>
      </c>
      <c r="U1254" s="40" t="s">
        <v>545</v>
      </c>
      <c r="V1254" s="40" t="str">
        <f>IF(AND(ТабПозиции[[#This Row],[Остаток]]=0,ТабПозиции[[#This Row],[Заказан]]="Да"),"Да","Нет")</f>
        <v>Да</v>
      </c>
      <c r="W1254" s="40" t="str">
        <f>IF(AND(ТабПозиции[[#This Row],[Остаток]]=0,ТабПозиции[[#This Row],[Заказан]]="Да"),"Да","Нет")</f>
        <v>Да</v>
      </c>
      <c r="X1254" s="3"/>
      <c r="Y1254"/>
    </row>
    <row r="1255" spans="1:25" hidden="1" x14ac:dyDescent="0.25">
      <c r="A1255" s="10">
        <v>336</v>
      </c>
      <c r="B1255" s="1">
        <f>IFERROR(VLOOKUP(ТабПозиции[[#This Row],[orderNum]],ТабЗаказы[#Data],MATCH(B$7,ТабЗаказы[#Headers],0),0),"")</f>
        <v>45607</v>
      </c>
      <c r="C1255" t="str">
        <f>MONTH(ТабПозиции[[#This Row],[date]])&amp;"/"&amp;YEAR(ТабПозиции[[#This Row],[date]])</f>
        <v>11/2024</v>
      </c>
      <c r="D1255" s="1" t="str">
        <f>IFERROR(VLOOKUP(ТабПозиции[[#This Row],[orderNum]],ТабЗаказы[#Data],MATCH(D$7,ТабЗаказы[#Headers],0),0),"")</f>
        <v/>
      </c>
      <c r="E1255" s="1" t="str">
        <f>IFERROR(VLOOKUP(ТабПозиции[[#This Row],[orderNum]],ТабЗаказы[#Data],MATCH(E$7,ТабЗаказы[#Headers],0),0),"")</f>
        <v/>
      </c>
      <c r="F1255" s="16" t="s">
        <v>1770</v>
      </c>
      <c r="G1255" s="40" t="s">
        <v>545</v>
      </c>
      <c r="I1255" s="18">
        <v>45610</v>
      </c>
      <c r="J1255" s="10">
        <v>1</v>
      </c>
      <c r="K1255" s="10">
        <v>411</v>
      </c>
      <c r="L1255">
        <f>ТабПозиции[[#This Row],[discountPrice]]*ТабПозиции[[#This Row],[quantity]]</f>
        <v>411</v>
      </c>
      <c r="M1255" s="10">
        <v>438</v>
      </c>
      <c r="N1255">
        <f t="shared" si="24"/>
        <v>438</v>
      </c>
      <c r="P12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Row],[orderNum]],ТабПозиции[orderSumm])&gt;1500),ABS(N1255*VLOOKUP(ТабПозиции[[#This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255">
        <f>IF(OR(ТабПозиции[[#This Row],[item]]="По штрихкоду",ТабПозиции[[#This Row],[item]]="Посылка"),ТабПозиции[[#This Row],[deliverySumm]]+ТабПозиции[[#This Row],[deliveryPost]],SUM(N1255:P1255))</f>
        <v>504</v>
      </c>
      <c r="R1255" s="41">
        <v>504</v>
      </c>
      <c r="S1255" s="46">
        <f>ТабПозиции[[#This Row],[totalSumm]]-ТабПозиции[[#This Row],[payment]]</f>
        <v>0</v>
      </c>
      <c r="T1255" s="18" t="s">
        <v>970</v>
      </c>
      <c r="U1255" s="40" t="s">
        <v>545</v>
      </c>
      <c r="V1255" s="40" t="str">
        <f>IF(AND(ТабПозиции[[#This Row],[Остаток]]=0,ТабПозиции[[#This Row],[Заказан]]="Да"),"Да","Нет")</f>
        <v>Да</v>
      </c>
      <c r="W1255" s="40" t="s">
        <v>545</v>
      </c>
      <c r="X1255" s="3"/>
      <c r="Y1255"/>
    </row>
    <row r="1256" spans="1:25" hidden="1" x14ac:dyDescent="0.25">
      <c r="A1256" s="10">
        <v>336</v>
      </c>
      <c r="B1256" s="1">
        <f>IFERROR(VLOOKUP(ТабПозиции[[#This Row],[orderNum]],ТабЗаказы[#Data],MATCH(B$7,ТабЗаказы[#Headers],0),0),"")</f>
        <v>45607</v>
      </c>
      <c r="C1256" t="str">
        <f>MONTH(ТабПозиции[[#This Row],[date]])&amp;"/"&amp;YEAR(ТабПозиции[[#This Row],[date]])</f>
        <v>11/2024</v>
      </c>
      <c r="D1256" s="1" t="str">
        <f>IFERROR(VLOOKUP(ТабПозиции[[#This Row],[orderNum]],ТабЗаказы[#Data],MATCH(D$7,ТабЗаказы[#Headers],0),0),"")</f>
        <v/>
      </c>
      <c r="E1256" s="1" t="str">
        <f>IFERROR(VLOOKUP(ТабПозиции[[#This Row],[orderNum]],ТабЗаказы[#Data],MATCH(E$7,ТабЗаказы[#Headers],0),0),"")</f>
        <v/>
      </c>
      <c r="F1256" s="16" t="s">
        <v>1771</v>
      </c>
      <c r="G1256" s="40" t="s">
        <v>545</v>
      </c>
      <c r="I1256" s="18">
        <v>45609</v>
      </c>
      <c r="J1256" s="10">
        <v>1</v>
      </c>
      <c r="K1256" s="10">
        <v>676</v>
      </c>
      <c r="L1256">
        <f>ТабПозиции[[#This Row],[discountPrice]]*ТабПозиции[[#This Row],[quantity]]</f>
        <v>676</v>
      </c>
      <c r="M1256" s="10">
        <v>720</v>
      </c>
      <c r="N1256">
        <f t="shared" si="24"/>
        <v>720</v>
      </c>
      <c r="P12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Row],[orderNum]],ТабПозиции[orderSumm])&gt;1500),ABS(N1256*VLOOKUP(ТабПозиции[[#This Row],[orderNum]],ТабЗаказы[#Data],MATCH("Percent",ТабЗаказы[#Headers],0),0))/100,200/COUNTIF(ТабПозиции[orderNum],ТабПозиции[[#This Row],[orderNum]])),0),"")</f>
        <v>108</v>
      </c>
      <c r="Q1256">
        <f>IF(OR(ТабПозиции[[#This Row],[item]]="По штрихкоду",ТабПозиции[[#This Row],[item]]="Посылка"),ТабПозиции[[#This Row],[deliverySumm]]+ТабПозиции[[#This Row],[deliveryPost]],SUM(N1256:P1256))</f>
        <v>828</v>
      </c>
      <c r="R1256" s="41">
        <v>828</v>
      </c>
      <c r="S1256" s="46">
        <f>ТабПозиции[[#This Row],[totalSumm]]-ТабПозиции[[#This Row],[payment]]</f>
        <v>0</v>
      </c>
      <c r="T1256" s="18" t="s">
        <v>970</v>
      </c>
      <c r="U1256" s="40" t="s">
        <v>545</v>
      </c>
      <c r="V1256" s="40" t="str">
        <f>IF(AND(ТабПозиции[[#This Row],[Остаток]]=0,ТабПозиции[[#This Row],[Заказан]]="Да"),"Да","Нет")</f>
        <v>Да</v>
      </c>
      <c r="W1256" s="40" t="s">
        <v>545</v>
      </c>
      <c r="X1256" s="3"/>
      <c r="Y1256"/>
    </row>
    <row r="1257" spans="1:25" hidden="1" x14ac:dyDescent="0.25">
      <c r="A1257" s="10">
        <v>336</v>
      </c>
      <c r="B1257" s="1">
        <f>IFERROR(VLOOKUP(ТабПозиции[[#This Row],[orderNum]],ТабЗаказы[#Data],MATCH(B$7,ТабЗаказы[#Headers],0),0),"")</f>
        <v>45607</v>
      </c>
      <c r="C1257" t="str">
        <f>MONTH(ТабПозиции[[#This Row],[date]])&amp;"/"&amp;YEAR(ТабПозиции[[#This Row],[date]])</f>
        <v>11/2024</v>
      </c>
      <c r="D1257" s="1" t="str">
        <f>IFERROR(VLOOKUP(ТабПозиции[[#This Row],[orderNum]],ТабЗаказы[#Data],MATCH(D$7,ТабЗаказы[#Headers],0),0),"")</f>
        <v/>
      </c>
      <c r="E1257" s="1" t="str">
        <f>IFERROR(VLOOKUP(ТабПозиции[[#This Row],[orderNum]],ТабЗаказы[#Data],MATCH(E$7,ТабЗаказы[#Headers],0),0),"")</f>
        <v/>
      </c>
      <c r="F1257" s="16" t="s">
        <v>1772</v>
      </c>
      <c r="G1257" s="40" t="s">
        <v>545</v>
      </c>
      <c r="I1257" s="18">
        <v>45610</v>
      </c>
      <c r="J1257" s="10">
        <v>1</v>
      </c>
      <c r="K1257" s="10">
        <v>288</v>
      </c>
      <c r="L1257">
        <f>ТабПозиции[[#This Row],[discountPrice]]*ТабПозиции[[#This Row],[quantity]]</f>
        <v>288</v>
      </c>
      <c r="M1257" s="10">
        <v>307</v>
      </c>
      <c r="N1257">
        <f t="shared" si="24"/>
        <v>307</v>
      </c>
      <c r="P12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Row],[orderNum]],ТабПозиции[orderSumm])&gt;1500),ABS(N1257*VLOOKUP(ТабПозиции[[#This Row],[orderNum]],ТабЗаказы[#Data],MATCH("Percent",ТабЗаказы[#Headers],0),0))/100,200/COUNTIF(ТабПозиции[orderNum],ТабПозиции[[#This Row],[orderNum]])),0),"")</f>
        <v>46</v>
      </c>
      <c r="Q1257">
        <f>IF(OR(ТабПозиции[[#This Row],[item]]="По штрихкоду",ТабПозиции[[#This Row],[item]]="Посылка"),ТабПозиции[[#This Row],[deliverySumm]]+ТабПозиции[[#This Row],[deliveryPost]],SUM(N1257:P1257))</f>
        <v>353</v>
      </c>
      <c r="R1257" s="41">
        <v>353</v>
      </c>
      <c r="S1257" s="46">
        <f>ТабПозиции[[#This Row],[totalSumm]]-ТабПозиции[[#This Row],[payment]]</f>
        <v>0</v>
      </c>
      <c r="T1257" s="18" t="s">
        <v>970</v>
      </c>
      <c r="U1257" s="40" t="s">
        <v>545</v>
      </c>
      <c r="V1257" s="40" t="str">
        <f>IF(AND(ТабПозиции[[#This Row],[Остаток]]=0,ТабПозиции[[#This Row],[Заказан]]="Да"),"Да","Нет")</f>
        <v>Да</v>
      </c>
      <c r="W1257" s="40" t="s">
        <v>545</v>
      </c>
      <c r="X1257" s="3"/>
      <c r="Y1257"/>
    </row>
    <row r="1258" spans="1:25" hidden="1" x14ac:dyDescent="0.25">
      <c r="A1258" s="10">
        <v>336</v>
      </c>
      <c r="B1258" s="1">
        <f>IFERROR(VLOOKUP(ТабПозиции[[#This Row],[orderNum]],ТабЗаказы[#Data],MATCH(B$7,ТабЗаказы[#Headers],0),0),"")</f>
        <v>45607</v>
      </c>
      <c r="C1258" t="str">
        <f>MONTH(ТабПозиции[[#This Row],[date]])&amp;"/"&amp;YEAR(ТабПозиции[[#This Row],[date]])</f>
        <v>11/2024</v>
      </c>
      <c r="D1258" s="1" t="str">
        <f>IFERROR(VLOOKUP(ТабПозиции[[#This Row],[orderNum]],ТабЗаказы[#Data],MATCH(D$7,ТабЗаказы[#Headers],0),0),"")</f>
        <v/>
      </c>
      <c r="E1258" s="1" t="str">
        <f>IFERROR(VLOOKUP(ТабПозиции[[#This Row],[orderNum]],ТабЗаказы[#Data],MATCH(E$7,ТабЗаказы[#Headers],0),0),"")</f>
        <v/>
      </c>
      <c r="F1258" s="16" t="s">
        <v>1773</v>
      </c>
      <c r="G1258" s="40" t="s">
        <v>545</v>
      </c>
      <c r="I1258" s="18">
        <v>45611</v>
      </c>
      <c r="J1258" s="10">
        <v>1</v>
      </c>
      <c r="K1258" s="10">
        <v>168</v>
      </c>
      <c r="L1258">
        <f>ТабПозиции[[#This Row],[discountPrice]]*ТабПозиции[[#This Row],[quantity]]</f>
        <v>168</v>
      </c>
      <c r="M1258" s="10">
        <v>179</v>
      </c>
      <c r="N1258">
        <f t="shared" si="24"/>
        <v>179</v>
      </c>
      <c r="P12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Row],[orderNum]],ТабПозиции[orderSumm])&gt;1500),ABS(N1258*VLOOKUP(ТабПозиции[[#This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258">
        <f>IF(OR(ТабПозиции[[#This Row],[item]]="По штрихкоду",ТабПозиции[[#This Row],[item]]="Посылка"),ТабПозиции[[#This Row],[deliverySumm]]+ТабПозиции[[#This Row],[deliveryPost]],SUM(N1258:P1258))</f>
        <v>206</v>
      </c>
      <c r="R1258" s="41">
        <v>206</v>
      </c>
      <c r="S1258" s="46">
        <f>ТабПозиции[[#This Row],[totalSumm]]-ТабПозиции[[#This Row],[payment]]</f>
        <v>0</v>
      </c>
      <c r="T1258" s="18" t="s">
        <v>970</v>
      </c>
      <c r="U1258" s="40" t="s">
        <v>545</v>
      </c>
      <c r="V1258" s="40" t="str">
        <f>IF(AND(ТабПозиции[[#This Row],[Остаток]]=0,ТабПозиции[[#This Row],[Заказан]]="Да"),"Да","Нет")</f>
        <v>Да</v>
      </c>
      <c r="W1258" s="40" t="s">
        <v>545</v>
      </c>
      <c r="X1258" s="3"/>
      <c r="Y1258"/>
    </row>
    <row r="1259" spans="1:25" hidden="1" x14ac:dyDescent="0.25">
      <c r="A1259" s="10">
        <v>336</v>
      </c>
      <c r="B1259" s="1">
        <f>IFERROR(VLOOKUP(ТабПозиции[[#This Row],[orderNum]],ТабЗаказы[#Data],MATCH(B$7,ТабЗаказы[#Headers],0),0),"")</f>
        <v>45607</v>
      </c>
      <c r="C1259" t="str">
        <f>MONTH(ТабПозиции[[#This Row],[date]])&amp;"/"&amp;YEAR(ТабПозиции[[#This Row],[date]])</f>
        <v>11/2024</v>
      </c>
      <c r="D1259" s="1" t="str">
        <f>IFERROR(VLOOKUP(ТабПозиции[[#This Row],[orderNum]],ТабЗаказы[#Data],MATCH(D$7,ТабЗаказы[#Headers],0),0),"")</f>
        <v/>
      </c>
      <c r="E1259" s="1" t="str">
        <f>IFERROR(VLOOKUP(ТабПозиции[[#This Row],[orderNum]],ТабЗаказы[#Data],MATCH(E$7,ТабЗаказы[#Headers],0),0),"")</f>
        <v/>
      </c>
      <c r="F1259" s="16" t="s">
        <v>1774</v>
      </c>
      <c r="G1259" s="40" t="s">
        <v>545</v>
      </c>
      <c r="I1259" s="18">
        <v>45609</v>
      </c>
      <c r="J1259" s="10">
        <v>1</v>
      </c>
      <c r="K1259" s="10">
        <v>1246</v>
      </c>
      <c r="L1259">
        <f>ТабПозиции[[#This Row],[discountPrice]]*ТабПозиции[[#This Row],[quantity]]</f>
        <v>1246</v>
      </c>
      <c r="M1259" s="10">
        <v>1326</v>
      </c>
      <c r="N1259">
        <f t="shared" si="24"/>
        <v>1326</v>
      </c>
      <c r="P12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Row],[orderNum]],ТабПозиции[orderSumm])&gt;1500),ABS(N1259*VLOOKUP(ТабПозиции[[#This Row],[orderNum]],ТабЗаказы[#Data],MATCH("Percent",ТабЗаказы[#Headers],0),0))/100,200/COUNTIF(ТабПозиции[orderNum],ТабПозиции[[#This Row],[orderNum]])),0),"")</f>
        <v>199</v>
      </c>
      <c r="Q1259">
        <f>IF(OR(ТабПозиции[[#This Row],[item]]="По штрихкоду",ТабПозиции[[#This Row],[item]]="Посылка"),ТабПозиции[[#This Row],[deliverySumm]]+ТабПозиции[[#This Row],[deliveryPost]],SUM(N1259:P1259))</f>
        <v>1525</v>
      </c>
      <c r="R1259" s="41">
        <v>1525</v>
      </c>
      <c r="S1259" s="46">
        <f>ТабПозиции[[#This Row],[totalSumm]]-ТабПозиции[[#This Row],[payment]]</f>
        <v>0</v>
      </c>
      <c r="T1259" s="18" t="s">
        <v>970</v>
      </c>
      <c r="U1259" s="40" t="s">
        <v>545</v>
      </c>
      <c r="V1259" s="40" t="str">
        <f>IF(AND(ТабПозиции[[#This Row],[Остаток]]=0,ТабПозиции[[#This Row],[Заказан]]="Да"),"Да","Нет")</f>
        <v>Да</v>
      </c>
      <c r="W1259" s="40" t="s">
        <v>545</v>
      </c>
      <c r="X1259" s="3"/>
      <c r="Y1259"/>
    </row>
    <row r="1260" spans="1:25" hidden="1" x14ac:dyDescent="0.25">
      <c r="A1260" s="10">
        <v>336</v>
      </c>
      <c r="B1260" s="1">
        <f>IFERROR(VLOOKUP(ТабПозиции[[#This Row],[orderNum]],ТабЗаказы[#Data],MATCH(B$7,ТабЗаказы[#Headers],0),0),"")</f>
        <v>45607</v>
      </c>
      <c r="C1260" t="str">
        <f>MONTH(ТабПозиции[[#This Row],[date]])&amp;"/"&amp;YEAR(ТабПозиции[[#This Row],[date]])</f>
        <v>11/2024</v>
      </c>
      <c r="D1260" s="1" t="str">
        <f>IFERROR(VLOOKUP(ТабПозиции[[#This Row],[orderNum]],ТабЗаказы[#Data],MATCH(D$7,ТабЗаказы[#Headers],0),0),"")</f>
        <v/>
      </c>
      <c r="E1260" s="1" t="str">
        <f>IFERROR(VLOOKUP(ТабПозиции[[#This Row],[orderNum]],ТабЗаказы[#Data],MATCH(E$7,ТабЗаказы[#Headers],0),0),"")</f>
        <v/>
      </c>
      <c r="F1260" s="16" t="s">
        <v>1775</v>
      </c>
      <c r="G1260" s="40" t="s">
        <v>545</v>
      </c>
      <c r="I1260" s="18">
        <v>45610</v>
      </c>
      <c r="J1260" s="10">
        <v>1</v>
      </c>
      <c r="K1260" s="10">
        <v>192</v>
      </c>
      <c r="L1260">
        <f>ТабПозиции[[#This Row],[discountPrice]]*ТабПозиции[[#This Row],[quantity]]</f>
        <v>192</v>
      </c>
      <c r="M1260" s="10">
        <v>205</v>
      </c>
      <c r="N1260">
        <f t="shared" si="24"/>
        <v>205</v>
      </c>
      <c r="P12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Row],[orderNum]],ТабПозиции[orderSumm])&gt;1500),ABS(N1260*VLOOKUP(ТабПозиции[[#This Row],[orderNum]],ТабЗаказы[#Data],MATCH("Percent",ТабЗаказы[#Headers],0),0))/100,200/COUNTIF(ТабПозиции[orderNum],ТабПозиции[[#This Row],[orderNum]])),0),"")</f>
        <v>31</v>
      </c>
      <c r="Q1260">
        <f>IF(OR(ТабПозиции[[#This Row],[item]]="По штрихкоду",ТабПозиции[[#This Row],[item]]="Посылка"),ТабПозиции[[#This Row],[deliverySumm]]+ТабПозиции[[#This Row],[deliveryPost]],SUM(N1260:P1260))</f>
        <v>236</v>
      </c>
      <c r="R1260" s="41">
        <v>236</v>
      </c>
      <c r="S1260" s="46">
        <f>ТабПозиции[[#This Row],[totalSumm]]-ТабПозиции[[#This Row],[payment]]</f>
        <v>0</v>
      </c>
      <c r="T1260" s="18" t="s">
        <v>970</v>
      </c>
      <c r="U1260" s="40" t="s">
        <v>545</v>
      </c>
      <c r="V1260" s="40" t="str">
        <f>IF(AND(ТабПозиции[[#This Row],[Остаток]]=0,ТабПозиции[[#This Row],[Заказан]]="Да"),"Да","Нет")</f>
        <v>Да</v>
      </c>
      <c r="W1260" s="40" t="s">
        <v>545</v>
      </c>
      <c r="X1260" s="3"/>
      <c r="Y1260"/>
    </row>
    <row r="1261" spans="1:25" hidden="1" x14ac:dyDescent="0.25">
      <c r="A1261" s="10">
        <v>336</v>
      </c>
      <c r="B1261" s="1">
        <f>IFERROR(VLOOKUP(ТабПозиции[[#This Row],[orderNum]],ТабЗаказы[#Data],MATCH(B$7,ТабЗаказы[#Headers],0),0),"")</f>
        <v>45607</v>
      </c>
      <c r="C1261" t="str">
        <f>MONTH(ТабПозиции[[#This Row],[date]])&amp;"/"&amp;YEAR(ТабПозиции[[#This Row],[date]])</f>
        <v>11/2024</v>
      </c>
      <c r="D1261" s="1" t="str">
        <f>IFERROR(VLOOKUP(ТабПозиции[[#This Row],[orderNum]],ТабЗаказы[#Data],MATCH(D$7,ТабЗаказы[#Headers],0),0),"")</f>
        <v/>
      </c>
      <c r="E1261" s="1" t="str">
        <f>IFERROR(VLOOKUP(ТабПозиции[[#This Row],[orderNum]],ТабЗаказы[#Data],MATCH(E$7,ТабЗаказы[#Headers],0),0),"")</f>
        <v/>
      </c>
      <c r="F1261" s="16" t="s">
        <v>1776</v>
      </c>
      <c r="G1261" s="40" t="s">
        <v>545</v>
      </c>
      <c r="I1261" s="18">
        <v>45610</v>
      </c>
      <c r="J1261" s="10">
        <v>1</v>
      </c>
      <c r="K1261" s="10">
        <v>142</v>
      </c>
      <c r="L1261">
        <f>ТабПозиции[[#This Row],[discountPrice]]*ТабПозиции[[#This Row],[quantity]]</f>
        <v>142</v>
      </c>
      <c r="M1261" s="10">
        <v>152</v>
      </c>
      <c r="N1261">
        <f t="shared" si="24"/>
        <v>152</v>
      </c>
      <c r="P12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Row],[orderNum]],ТабПозиции[orderSumm])&gt;1500),ABS(N1261*VLOOKUP(ТабПозиции[[#This Row],[orderNum]],ТабЗаказы[#Data],MATCH("Percent",ТабЗаказы[#Headers],0),0))/100,200/COUNTIF(ТабПозиции[orderNum],ТабПозиции[[#This Row],[orderNum]])),0),"")</f>
        <v>23</v>
      </c>
      <c r="Q1261">
        <f>IF(OR(ТабПозиции[[#This Row],[item]]="По штрихкоду",ТабПозиции[[#This Row],[item]]="Посылка"),ТабПозиции[[#This Row],[deliverySumm]]+ТабПозиции[[#This Row],[deliveryPost]],SUM(N1261:P1261))</f>
        <v>175</v>
      </c>
      <c r="R1261" s="41">
        <v>175</v>
      </c>
      <c r="S1261" s="46">
        <f>ТабПозиции[[#This Row],[totalSumm]]-ТабПозиции[[#This Row],[payment]]</f>
        <v>0</v>
      </c>
      <c r="T1261" s="18" t="s">
        <v>970</v>
      </c>
      <c r="U1261" s="40" t="s">
        <v>545</v>
      </c>
      <c r="V1261" s="40" t="str">
        <f>IF(AND(ТабПозиции[[#This Row],[Остаток]]=0,ТабПозиции[[#This Row],[Заказан]]="Да"),"Да","Нет")</f>
        <v>Да</v>
      </c>
      <c r="W1261" s="40" t="str">
        <f>IF(AND(ТабПозиции[[#This Row],[Остаток]]=0,ТабПозиции[[#This Row],[Заказан]]="Да"),"Да","Нет")</f>
        <v>Да</v>
      </c>
      <c r="X1261" s="3"/>
      <c r="Y1261"/>
    </row>
    <row r="1262" spans="1:25" hidden="1" x14ac:dyDescent="0.25">
      <c r="A1262" s="10">
        <v>336</v>
      </c>
      <c r="B1262" s="1">
        <f>IFERROR(VLOOKUP(ТабПозиции[[#This Row],[orderNum]],ТабЗаказы[#Data],MATCH(B$7,ТабЗаказы[#Headers],0),0),"")</f>
        <v>45607</v>
      </c>
      <c r="C1262" t="str">
        <f>MONTH(ТабПозиции[[#This Row],[date]])&amp;"/"&amp;YEAR(ТабПозиции[[#This Row],[date]])</f>
        <v>11/2024</v>
      </c>
      <c r="D1262" s="1" t="str">
        <f>IFERROR(VLOOKUP(ТабПозиции[[#This Row],[orderNum]],ТабЗаказы[#Data],MATCH(D$7,ТабЗаказы[#Headers],0),0),"")</f>
        <v/>
      </c>
      <c r="E1262" s="1" t="str">
        <f>IFERROR(VLOOKUP(ТабПозиции[[#This Row],[orderNum]],ТабЗаказы[#Data],MATCH(E$7,ТабЗаказы[#Headers],0),0),"")</f>
        <v/>
      </c>
      <c r="F1262" s="16" t="s">
        <v>1777</v>
      </c>
      <c r="G1262" s="40" t="s">
        <v>545</v>
      </c>
      <c r="I1262" s="18">
        <v>45609</v>
      </c>
      <c r="J1262" s="10">
        <v>1</v>
      </c>
      <c r="K1262" s="10">
        <v>324</v>
      </c>
      <c r="L1262">
        <f>ТабПозиции[[#This Row],[discountPrice]]*ТабПозиции[[#This Row],[quantity]]</f>
        <v>324</v>
      </c>
      <c r="M1262" s="10">
        <v>345</v>
      </c>
      <c r="N1262">
        <f t="shared" si="24"/>
        <v>345</v>
      </c>
      <c r="P12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Row],[orderNum]],ТабПозиции[orderSumm])&gt;1500),ABS(N1262*VLOOKUP(ТабПозиции[[#This Row],[orderNum]],ТабЗаказы[#Data],MATCH("Percent",ТабЗаказы[#Headers],0),0))/100,200/COUNTIF(ТабПозиции[orderNum],ТабПозиции[[#This Row],[orderNum]])),0),"")</f>
        <v>52</v>
      </c>
      <c r="Q1262">
        <f>IF(OR(ТабПозиции[[#This Row],[item]]="По штрихкоду",ТабПозиции[[#This Row],[item]]="Посылка"),ТабПозиции[[#This Row],[deliverySumm]]+ТабПозиции[[#This Row],[deliveryPost]],SUM(N1262:P1262))</f>
        <v>397</v>
      </c>
      <c r="R1262" s="41">
        <v>397</v>
      </c>
      <c r="S1262" s="46">
        <f>ТабПозиции[[#This Row],[totalSumm]]-ТабПозиции[[#This Row],[payment]]</f>
        <v>0</v>
      </c>
      <c r="T1262" s="18" t="s">
        <v>970</v>
      </c>
      <c r="U1262" s="40" t="s">
        <v>545</v>
      </c>
      <c r="V1262" s="40" t="str">
        <f>IF(AND(ТабПозиции[[#This Row],[Остаток]]=0,ТабПозиции[[#This Row],[Заказан]]="Да"),"Да","Нет")</f>
        <v>Да</v>
      </c>
      <c r="W1262" s="40" t="s">
        <v>545</v>
      </c>
      <c r="X1262" s="3"/>
      <c r="Y1262"/>
    </row>
    <row r="1263" spans="1:25" hidden="1" x14ac:dyDescent="0.25">
      <c r="A1263" s="10">
        <v>336</v>
      </c>
      <c r="B1263" s="1">
        <f>IFERROR(VLOOKUP(ТабПозиции[[#This Row],[orderNum]],ТабЗаказы[#Data],MATCH(B$7,ТабЗаказы[#Headers],0),0),"")</f>
        <v>45607</v>
      </c>
      <c r="C1263" t="str">
        <f>MONTH(ТабПозиции[[#This Row],[date]])&amp;"/"&amp;YEAR(ТабПозиции[[#This Row],[date]])</f>
        <v>11/2024</v>
      </c>
      <c r="D1263" s="1" t="str">
        <f>IFERROR(VLOOKUP(ТабПозиции[[#This Row],[orderNum]],ТабЗаказы[#Data],MATCH(D$7,ТабЗаказы[#Headers],0),0),"")</f>
        <v/>
      </c>
      <c r="E1263" s="1" t="str">
        <f>IFERROR(VLOOKUP(ТабПозиции[[#This Row],[orderNum]],ТабЗаказы[#Data],MATCH(E$7,ТабЗаказы[#Headers],0),0),"")</f>
        <v/>
      </c>
      <c r="F1263" s="16" t="s">
        <v>1778</v>
      </c>
      <c r="G1263" s="40" t="s">
        <v>545</v>
      </c>
      <c r="I1263" s="18">
        <v>45609</v>
      </c>
      <c r="J1263" s="10">
        <v>1</v>
      </c>
      <c r="K1263" s="10">
        <v>419</v>
      </c>
      <c r="L1263">
        <f>ТабПозиции[[#This Row],[discountPrice]]*ТабПозиции[[#This Row],[quantity]]</f>
        <v>419</v>
      </c>
      <c r="M1263" s="10">
        <v>446</v>
      </c>
      <c r="N1263">
        <f t="shared" si="24"/>
        <v>446</v>
      </c>
      <c r="P12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Row],[orderNum]],ТабПозиции[orderSumm])&gt;1500),ABS(N1263*VLOOKUP(ТабПозиции[[#This Row],[orderNum]],ТабЗаказы[#Data],MATCH("Percent",ТабЗаказы[#Headers],0),0))/100,200/COUNTIF(ТабПозиции[orderNum],ТабПозиции[[#This Row],[orderNum]])),0),"")</f>
        <v>67</v>
      </c>
      <c r="Q1263">
        <f>IF(OR(ТабПозиции[[#This Row],[item]]="По штрихкоду",ТабПозиции[[#This Row],[item]]="Посылка"),ТабПозиции[[#This Row],[deliverySumm]]+ТабПозиции[[#This Row],[deliveryPost]],SUM(N1263:P1263))</f>
        <v>513</v>
      </c>
      <c r="R1263" s="41">
        <v>513</v>
      </c>
      <c r="S1263" s="46">
        <f>ТабПозиции[[#This Row],[totalSumm]]-ТабПозиции[[#This Row],[payment]]</f>
        <v>0</v>
      </c>
      <c r="T1263" s="18" t="s">
        <v>970</v>
      </c>
      <c r="U1263" s="40" t="s">
        <v>545</v>
      </c>
      <c r="V1263" s="40" t="str">
        <f>IF(AND(ТабПозиции[[#This Row],[Остаток]]=0,ТабПозиции[[#This Row],[Заказан]]="Да"),"Да","Нет")</f>
        <v>Да</v>
      </c>
      <c r="W1263" s="40" t="s">
        <v>545</v>
      </c>
      <c r="X1263" s="3"/>
      <c r="Y1263"/>
    </row>
    <row r="1264" spans="1:25" hidden="1" x14ac:dyDescent="0.25">
      <c r="A1264" s="10">
        <v>336</v>
      </c>
      <c r="B1264" s="1">
        <f>IFERROR(VLOOKUP(ТабПозиции[[#This Row],[orderNum]],ТабЗаказы[#Data],MATCH(B$7,ТабЗаказы[#Headers],0),0),"")</f>
        <v>45607</v>
      </c>
      <c r="C1264" t="str">
        <f>MONTH(ТабПозиции[[#This Row],[date]])&amp;"/"&amp;YEAR(ТабПозиции[[#This Row],[date]])</f>
        <v>11/2024</v>
      </c>
      <c r="D1264" s="1" t="str">
        <f>IFERROR(VLOOKUP(ТабПозиции[[#This Row],[orderNum]],ТабЗаказы[#Data],MATCH(D$7,ТабЗаказы[#Headers],0),0),"")</f>
        <v/>
      </c>
      <c r="E1264" s="1" t="str">
        <f>IFERROR(VLOOKUP(ТабПозиции[[#This Row],[orderNum]],ТабЗаказы[#Data],MATCH(E$7,ТабЗаказы[#Headers],0),0),"")</f>
        <v/>
      </c>
      <c r="F1264" s="16" t="s">
        <v>1779</v>
      </c>
      <c r="G1264" s="40" t="s">
        <v>545</v>
      </c>
      <c r="I1264" s="18">
        <v>45609</v>
      </c>
      <c r="J1264" s="10">
        <v>1</v>
      </c>
      <c r="K1264" s="10">
        <v>135</v>
      </c>
      <c r="L1264">
        <f>ТабПозиции[[#This Row],[discountPrice]]*ТабПозиции[[#This Row],[quantity]]</f>
        <v>135</v>
      </c>
      <c r="M1264" s="10">
        <v>144</v>
      </c>
      <c r="N1264">
        <f t="shared" si="24"/>
        <v>144</v>
      </c>
      <c r="P12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Row],[orderNum]],ТабПозиции[orderSumm])&gt;1500),ABS(N1264*VLOOKUP(ТабПозиции[[#This Row],[orderNum]],ТабЗаказы[#Data],MATCH("Percent",ТабЗаказы[#Headers],0),0))/100,200/COUNTIF(ТабПозиции[orderNum],ТабПозиции[[#This Row],[orderNum]])),0),"")</f>
        <v>22</v>
      </c>
      <c r="Q1264">
        <f>IF(OR(ТабПозиции[[#This Row],[item]]="По штрихкоду",ТабПозиции[[#This Row],[item]]="Посылка"),ТабПозиции[[#This Row],[deliverySumm]]+ТабПозиции[[#This Row],[deliveryPost]],SUM(N1264:P1264))</f>
        <v>166</v>
      </c>
      <c r="R1264" s="41">
        <v>166</v>
      </c>
      <c r="S1264" s="46">
        <f>ТабПозиции[[#This Row],[totalSumm]]-ТабПозиции[[#This Row],[payment]]</f>
        <v>0</v>
      </c>
      <c r="T1264" s="18" t="s">
        <v>970</v>
      </c>
      <c r="U1264" s="40" t="s">
        <v>545</v>
      </c>
      <c r="V1264" s="40" t="str">
        <f>IF(AND(ТабПозиции[[#This Row],[Остаток]]=0,ТабПозиции[[#This Row],[Заказан]]="Да"),"Да","Нет")</f>
        <v>Да</v>
      </c>
      <c r="W1264" s="40" t="s">
        <v>545</v>
      </c>
      <c r="X1264" s="3"/>
      <c r="Y1264"/>
    </row>
    <row r="1265" spans="1:25" hidden="1" x14ac:dyDescent="0.25">
      <c r="A1265" s="10">
        <v>336</v>
      </c>
      <c r="B1265" s="1">
        <f>IFERROR(VLOOKUP(ТабПозиции[[#This Row],[orderNum]],ТабЗаказы[#Data],MATCH(B$7,ТабЗаказы[#Headers],0),0),"")</f>
        <v>45607</v>
      </c>
      <c r="C1265" t="str">
        <f>MONTH(ТабПозиции[[#This Row],[date]])&amp;"/"&amp;YEAR(ТабПозиции[[#This Row],[date]])</f>
        <v>11/2024</v>
      </c>
      <c r="D1265" s="1" t="str">
        <f>IFERROR(VLOOKUP(ТабПозиции[[#This Row],[orderNum]],ТабЗаказы[#Data],MATCH(D$7,ТабЗаказы[#Headers],0),0),"")</f>
        <v/>
      </c>
      <c r="E1265" s="1" t="str">
        <f>IFERROR(VLOOKUP(ТабПозиции[[#This Row],[orderNum]],ТабЗаказы[#Data],MATCH(E$7,ТабЗаказы[#Headers],0),0),"")</f>
        <v/>
      </c>
      <c r="F1265" s="16" t="s">
        <v>1780</v>
      </c>
      <c r="G1265" s="40" t="s">
        <v>545</v>
      </c>
      <c r="I1265" s="18">
        <v>45628</v>
      </c>
      <c r="J1265" s="10">
        <v>1</v>
      </c>
      <c r="K1265" s="10">
        <v>128</v>
      </c>
      <c r="L1265">
        <f>ТабПозиции[[#This Row],[discountPrice]]*ТабПозиции[[#This Row],[quantity]]</f>
        <v>128</v>
      </c>
      <c r="M1265" s="10">
        <v>135</v>
      </c>
      <c r="N1265">
        <f t="shared" si="24"/>
        <v>135</v>
      </c>
      <c r="P12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Row],[orderNum]],ТабПозиции[orderSumm])&gt;1500),ABS(N1265*VLOOKUP(ТабПозиции[[#This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265">
        <f>IF(OR(ТабПозиции[[#This Row],[item]]="По штрихкоду",ТабПозиции[[#This Row],[item]]="Посылка"),ТабПозиции[[#This Row],[deliverySumm]]+ТабПозиции[[#This Row],[deliveryPost]],SUM(N1265:P1265))</f>
        <v>155</v>
      </c>
      <c r="R1265" s="41">
        <v>155</v>
      </c>
      <c r="S1265" s="46">
        <f>ТабПозиции[[#This Row],[totalSumm]]-ТабПозиции[[#This Row],[payment]]</f>
        <v>0</v>
      </c>
      <c r="T1265" s="18" t="s">
        <v>970</v>
      </c>
      <c r="U1265" s="40" t="s">
        <v>545</v>
      </c>
      <c r="V1265" s="40" t="str">
        <f>IF(AND(ТабПозиции[[#This Row],[Остаток]]=0,ТабПозиции[[#This Row],[Заказан]]="Да"),"Да","Нет")</f>
        <v>Да</v>
      </c>
      <c r="W1265" s="40" t="str">
        <f>IF(AND(ТабПозиции[[#This Row],[Остаток]]=0,ТабПозиции[[#This Row],[Заказан]]="Да"),"Да","Нет")</f>
        <v>Да</v>
      </c>
      <c r="X1265" s="3"/>
      <c r="Y1265"/>
    </row>
    <row r="1266" spans="1:25" hidden="1" x14ac:dyDescent="0.25">
      <c r="A1266" s="10">
        <v>336</v>
      </c>
      <c r="B1266" s="1">
        <f>IFERROR(VLOOKUP(ТабПозиции[[#This Row],[orderNum]],ТабЗаказы[#Data],MATCH(B$7,ТабЗаказы[#Headers],0),0),"")</f>
        <v>45607</v>
      </c>
      <c r="C1266" t="str">
        <f>MONTH(ТабПозиции[[#This Row],[date]])&amp;"/"&amp;YEAR(ТабПозиции[[#This Row],[date]])</f>
        <v>11/2024</v>
      </c>
      <c r="D1266" s="1" t="str">
        <f>IFERROR(VLOOKUP(ТабПозиции[[#This Row],[orderNum]],ТабЗаказы[#Data],MATCH(D$7,ТабЗаказы[#Headers],0),0),"")</f>
        <v/>
      </c>
      <c r="E1266" s="1" t="str">
        <f>IFERROR(VLOOKUP(ТабПозиции[[#This Row],[orderNum]],ТабЗаказы[#Data],MATCH(E$7,ТабЗаказы[#Headers],0),0),"")</f>
        <v/>
      </c>
      <c r="F1266" s="16" t="s">
        <v>1781</v>
      </c>
      <c r="G1266" s="40" t="s">
        <v>545</v>
      </c>
      <c r="I1266" s="18">
        <v>45609</v>
      </c>
      <c r="J1266" s="10">
        <v>1</v>
      </c>
      <c r="K1266" s="10">
        <v>232</v>
      </c>
      <c r="L1266">
        <f>ТабПозиции[[#This Row],[discountPrice]]*ТабПозиции[[#This Row],[quantity]]</f>
        <v>232</v>
      </c>
      <c r="M1266" s="10">
        <v>247</v>
      </c>
      <c r="N1266">
        <f t="shared" si="24"/>
        <v>247</v>
      </c>
      <c r="P12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Row],[orderNum]],ТабПозиции[orderSumm])&gt;1500),ABS(N1266*VLOOKUP(ТабПозиции[[#This Row],[orderNum]],ТабЗаказы[#Data],MATCH("Percent",ТабЗаказы[#Headers],0),0))/100,200/COUNTIF(ТабПозиции[orderNum],ТабПозиции[[#This Row],[orderNum]])),0),"")</f>
        <v>37</v>
      </c>
      <c r="Q1266">
        <f>IF(OR(ТабПозиции[[#This Row],[item]]="По штрихкоду",ТабПозиции[[#This Row],[item]]="Посылка"),ТабПозиции[[#This Row],[deliverySumm]]+ТабПозиции[[#This Row],[deliveryPost]],SUM(N1266:P1266))</f>
        <v>284</v>
      </c>
      <c r="R1266" s="41">
        <v>284</v>
      </c>
      <c r="S1266" s="46">
        <f>ТабПозиции[[#This Row],[totalSumm]]-ТабПозиции[[#This Row],[payment]]</f>
        <v>0</v>
      </c>
      <c r="T1266" s="18" t="s">
        <v>970</v>
      </c>
      <c r="U1266" s="40" t="s">
        <v>545</v>
      </c>
      <c r="V1266" s="40" t="str">
        <f>IF(AND(ТабПозиции[[#This Row],[Остаток]]=0,ТабПозиции[[#This Row],[Заказан]]="Да"),"Да","Нет")</f>
        <v>Да</v>
      </c>
      <c r="W1266" s="40" t="s">
        <v>545</v>
      </c>
      <c r="X1266" s="3"/>
      <c r="Y1266"/>
    </row>
    <row r="1267" spans="1:25" hidden="1" x14ac:dyDescent="0.25">
      <c r="A1267" s="10">
        <v>336</v>
      </c>
      <c r="B1267" s="1">
        <f>IFERROR(VLOOKUP(ТабПозиции[[#This Row],[orderNum]],ТабЗаказы[#Data],MATCH(B$7,ТабЗаказы[#Headers],0),0),"")</f>
        <v>45607</v>
      </c>
      <c r="C1267" t="str">
        <f>MONTH(ТабПозиции[[#This Row],[date]])&amp;"/"&amp;YEAR(ТабПозиции[[#This Row],[date]])</f>
        <v>11/2024</v>
      </c>
      <c r="D1267" s="1" t="str">
        <f>IFERROR(VLOOKUP(ТабПозиции[[#This Row],[orderNum]],ТабЗаказы[#Data],MATCH(D$7,ТабЗаказы[#Headers],0),0),"")</f>
        <v/>
      </c>
      <c r="E1267" s="1" t="str">
        <f>IFERROR(VLOOKUP(ТабПозиции[[#This Row],[orderNum]],ТабЗаказы[#Data],MATCH(E$7,ТабЗаказы[#Headers],0),0),"")</f>
        <v/>
      </c>
      <c r="F1267" s="16" t="s">
        <v>1782</v>
      </c>
      <c r="G1267" s="40" t="s">
        <v>545</v>
      </c>
      <c r="I1267" s="18">
        <v>45610</v>
      </c>
      <c r="J1267" s="10">
        <v>1</v>
      </c>
      <c r="K1267" s="10">
        <v>366</v>
      </c>
      <c r="L1267">
        <f>ТабПозиции[[#This Row],[discountPrice]]*ТабПозиции[[#This Row],[quantity]]</f>
        <v>366</v>
      </c>
      <c r="M1267" s="10">
        <v>390</v>
      </c>
      <c r="N1267">
        <f t="shared" si="24"/>
        <v>390</v>
      </c>
      <c r="P12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Row],[orderNum]],ТабПозиции[orderSumm])&gt;1500),ABS(N1267*VLOOKUP(ТабПозиции[[#This Row],[orderNum]],ТабЗаказы[#Data],MATCH("Percent",ТабЗаказы[#Headers],0),0))/100,200/COUNTIF(ТабПозиции[orderNum],ТабПозиции[[#This Row],[orderNum]])),0),"")</f>
        <v>59</v>
      </c>
      <c r="Q1267">
        <f>IF(OR(ТабПозиции[[#This Row],[item]]="По штрихкоду",ТабПозиции[[#This Row],[item]]="Посылка"),ТабПозиции[[#This Row],[deliverySumm]]+ТабПозиции[[#This Row],[deliveryPost]],SUM(N1267:P1267))</f>
        <v>449</v>
      </c>
      <c r="R1267" s="41">
        <v>449</v>
      </c>
      <c r="S1267" s="46">
        <f>ТабПозиции[[#This Row],[totalSumm]]-ТабПозиции[[#This Row],[payment]]</f>
        <v>0</v>
      </c>
      <c r="T1267" s="18" t="s">
        <v>970</v>
      </c>
      <c r="U1267" s="40" t="s">
        <v>545</v>
      </c>
      <c r="V1267" s="40" t="str">
        <f>IF(AND(ТабПозиции[[#This Row],[Остаток]]=0,ТабПозиции[[#This Row],[Заказан]]="Да"),"Да","Нет")</f>
        <v>Да</v>
      </c>
      <c r="W1267" s="40" t="s">
        <v>545</v>
      </c>
      <c r="X1267" s="3"/>
      <c r="Y1267"/>
    </row>
    <row r="1268" spans="1:25" hidden="1" x14ac:dyDescent="0.25">
      <c r="A1268" s="10">
        <v>337</v>
      </c>
      <c r="B1268" s="1">
        <f>IFERROR(VLOOKUP(ТабПозиции[[#This Row],[orderNum]],ТабЗаказы[#Data],MATCH(B$7,ТабЗаказы[#Headers],0),0),"")</f>
        <v>45610</v>
      </c>
      <c r="C1268" t="str">
        <f>MONTH(ТабПозиции[[#This Row],[date]])&amp;"/"&amp;YEAR(ТабПозиции[[#This Row],[date]])</f>
        <v>11/2024</v>
      </c>
      <c r="D1268" s="1" t="str">
        <f>IFERROR(VLOOKUP(ТабПозиции[[#This Row],[orderNum]],ТабЗаказы[#Data],MATCH(D$7,ТабЗаказы[#Headers],0),0),"")</f>
        <v/>
      </c>
      <c r="E1268" s="1" t="str">
        <f>IFERROR(VLOOKUP(ТабПозиции[[#This Row],[orderNum]],ТабЗаказы[#Data],MATCH(E$7,ТабЗаказы[#Headers],0),0),"")</f>
        <v/>
      </c>
      <c r="F1268" s="16" t="s">
        <v>1783</v>
      </c>
      <c r="G1268" s="40" t="s">
        <v>545</v>
      </c>
      <c r="I1268" s="18">
        <v>45613</v>
      </c>
      <c r="J1268" s="10">
        <v>1</v>
      </c>
      <c r="K1268" s="10">
        <v>375</v>
      </c>
      <c r="L1268">
        <f>ТабПозиции[[#This Row],[discountPrice]]*ТабПозиции[[#This Row],[quantity]]</f>
        <v>375</v>
      </c>
      <c r="M1268" s="10">
        <v>402</v>
      </c>
      <c r="N1268">
        <f t="shared" si="24"/>
        <v>402</v>
      </c>
      <c r="P12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Row],[orderNum]],ТабПозиции[orderSumm])&gt;1500),ABS(N1268*VLOOKUP(ТабПозиции[[#This Row],[orderNum]],ТабЗаказы[#Data],MATCH("Percent",ТабЗаказы[#Headers],0),0))/100,200/COUNTIF(ТабПозиции[orderNum],ТабПозиции[[#This Row],[orderNum]])),0),"")</f>
        <v>60</v>
      </c>
      <c r="Q1268">
        <f>IF(OR(ТабПозиции[[#This Row],[item]]="По штрихкоду",ТабПозиции[[#This Row],[item]]="Посылка"),ТабПозиции[[#This Row],[deliverySumm]]+ТабПозиции[[#This Row],[deliveryPost]],SUM(N1268:P1268))</f>
        <v>462</v>
      </c>
      <c r="R1268" s="41">
        <v>462</v>
      </c>
      <c r="S1268" s="46">
        <f>ТабПозиции[[#This Row],[totalSumm]]-ТабПозиции[[#This Row],[payment]]</f>
        <v>0</v>
      </c>
      <c r="T1268" s="18" t="s">
        <v>960</v>
      </c>
      <c r="U1268" s="40" t="s">
        <v>545</v>
      </c>
      <c r="V1268" s="40" t="str">
        <f>IF(AND(ТабПозиции[[#This Row],[Остаток]]=0,ТабПозиции[[#This Row],[Заказан]]="Да"),"Да","Нет")</f>
        <v>Да</v>
      </c>
      <c r="W1268" s="40" t="s">
        <v>545</v>
      </c>
      <c r="X1268" s="3"/>
      <c r="Y1268"/>
    </row>
    <row r="1269" spans="1:25" hidden="1" x14ac:dyDescent="0.25">
      <c r="A1269" s="10">
        <v>337</v>
      </c>
      <c r="B1269" s="1">
        <f>IFERROR(VLOOKUP(ТабПозиции[[#This Row],[orderNum]],ТабЗаказы[#Data],MATCH(B$7,ТабЗаказы[#Headers],0),0),"")</f>
        <v>45610</v>
      </c>
      <c r="C1269" t="str">
        <f>MONTH(ТабПозиции[[#This Row],[date]])&amp;"/"&amp;YEAR(ТабПозиции[[#This Row],[date]])</f>
        <v>11/2024</v>
      </c>
      <c r="D1269" s="1" t="str">
        <f>IFERROR(VLOOKUP(ТабПозиции[[#This Row],[orderNum]],ТабЗаказы[#Data],MATCH(D$7,ТабЗаказы[#Headers],0),0),"")</f>
        <v/>
      </c>
      <c r="E1269" s="1" t="str">
        <f>IFERROR(VLOOKUP(ТабПозиции[[#This Row],[orderNum]],ТабЗаказы[#Data],MATCH(E$7,ТабЗаказы[#Headers],0),0),"")</f>
        <v/>
      </c>
      <c r="F1269" s="16" t="s">
        <v>1784</v>
      </c>
      <c r="G1269" s="40" t="s">
        <v>545</v>
      </c>
      <c r="I1269" s="18">
        <v>45611</v>
      </c>
      <c r="J1269" s="10">
        <v>1</v>
      </c>
      <c r="K1269" s="10">
        <v>1060</v>
      </c>
      <c r="L1269">
        <f>ТабПозиции[[#This Row],[discountPrice]]*ТабПозиции[[#This Row],[quantity]]</f>
        <v>1060</v>
      </c>
      <c r="M1269" s="10">
        <v>1172</v>
      </c>
      <c r="N1269">
        <f t="shared" si="24"/>
        <v>1172</v>
      </c>
      <c r="P12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Row],[orderNum]],ТабПозиции[orderSumm])&gt;1500),ABS(N1269*VLOOKUP(ТабПозиции[[#This Row],[orderNum]],ТабЗаказы[#Data],MATCH("Percent",ТабЗаказы[#Headers],0),0))/100,200/COUNTIF(ТабПозиции[orderNum],ТабПозиции[[#This Row],[orderNum]])),0),"")</f>
        <v>176</v>
      </c>
      <c r="Q1269">
        <f>IF(OR(ТабПозиции[[#This Row],[item]]="По штрихкоду",ТабПозиции[[#This Row],[item]]="Посылка"),ТабПозиции[[#This Row],[deliverySumm]]+ТабПозиции[[#This Row],[deliveryPost]],SUM(N1269:P1269))</f>
        <v>1348</v>
      </c>
      <c r="R1269" s="41">
        <v>1348</v>
      </c>
      <c r="S1269" s="46">
        <f>ТабПозиции[[#This Row],[totalSumm]]-ТабПозиции[[#This Row],[payment]]</f>
        <v>0</v>
      </c>
      <c r="T1269" s="18" t="s">
        <v>960</v>
      </c>
      <c r="U1269" s="40" t="s">
        <v>545</v>
      </c>
      <c r="V1269" s="40" t="str">
        <f>IF(AND(ТабПозиции[[#This Row],[Остаток]]=0,ТабПозиции[[#This Row],[Заказан]]="Да"),"Да","Нет")</f>
        <v>Да</v>
      </c>
      <c r="W1269" s="40" t="s">
        <v>545</v>
      </c>
      <c r="X1269" s="3"/>
      <c r="Y1269"/>
    </row>
    <row r="1270" spans="1:25" hidden="1" x14ac:dyDescent="0.25">
      <c r="A1270" s="10">
        <v>338</v>
      </c>
      <c r="B1270" s="1">
        <f>IFERROR(VLOOKUP(ТабПозиции[[#This Row],[orderNum]],ТабЗаказы[#Data],MATCH(B$7,ТабЗаказы[#Headers],0),0),"")</f>
        <v>45610</v>
      </c>
      <c r="C1270" t="str">
        <f>MONTH(ТабПозиции[[#This Row],[date]])&amp;"/"&amp;YEAR(ТабПозиции[[#This Row],[date]])</f>
        <v>11/2024</v>
      </c>
      <c r="D1270" s="1" t="str">
        <f>IFERROR(VLOOKUP(ТабПозиции[[#This Row],[orderNum]],ТабЗаказы[#Data],MATCH(D$7,ТабЗаказы[#Headers],0),0),"")</f>
        <v/>
      </c>
      <c r="E1270" s="1" t="str">
        <f>IFERROR(VLOOKUP(ТабПозиции[[#This Row],[orderNum]],ТабЗаказы[#Data],MATCH(E$7,ТабЗаказы[#Headers],0),0),"")</f>
        <v/>
      </c>
      <c r="F1270" s="16" t="s">
        <v>1785</v>
      </c>
      <c r="G1270" s="40" t="s">
        <v>545</v>
      </c>
      <c r="I1270" s="18">
        <v>45613</v>
      </c>
      <c r="J1270" s="10">
        <v>1</v>
      </c>
      <c r="K1270" s="10">
        <v>1544</v>
      </c>
      <c r="L1270">
        <f>ТабПозиции[[#This Row],[discountPrice]]*ТабПозиции[[#This Row],[quantity]]</f>
        <v>1544</v>
      </c>
      <c r="M1270" s="10">
        <v>1658</v>
      </c>
      <c r="N1270">
        <f t="shared" si="24"/>
        <v>1658</v>
      </c>
      <c r="P12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Row],[orderNum]],ТабПозиции[orderSumm])&gt;1500),ABS(N1270*VLOOKUP(ТабПозиции[[#This Row],[orderNum]],ТабЗаказы[#Data],MATCH("Percent",ТабЗаказы[#Headers],0),0))/100,200/COUNTIF(ТабПозиции[orderNum],ТабПозиции[[#This Row],[orderNum]])),0),"")</f>
        <v>249</v>
      </c>
      <c r="Q1270">
        <f>IF(OR(ТабПозиции[[#This Row],[item]]="По штрихкоду",ТабПозиции[[#This Row],[item]]="Посылка"),ТабПозиции[[#This Row],[deliverySumm]]+ТабПозиции[[#This Row],[deliveryPost]],SUM(N1270:P1270))</f>
        <v>1907</v>
      </c>
      <c r="R1270" s="41">
        <v>1907</v>
      </c>
      <c r="S1270" s="46">
        <f>ТабПозиции[[#This Row],[totalSumm]]-ТабПозиции[[#This Row],[payment]]</f>
        <v>0</v>
      </c>
      <c r="T1270" s="18" t="s">
        <v>960</v>
      </c>
      <c r="U1270" s="40" t="s">
        <v>545</v>
      </c>
      <c r="V1270" s="40" t="str">
        <f>IF(AND(ТабПозиции[[#This Row],[Остаток]]=0,ТабПозиции[[#This Row],[Заказан]]="Да"),"Да","Нет")</f>
        <v>Да</v>
      </c>
      <c r="W1270" s="40" t="s">
        <v>545</v>
      </c>
      <c r="X1270" s="3"/>
      <c r="Y1270"/>
    </row>
    <row r="1271" spans="1:25" hidden="1" x14ac:dyDescent="0.25">
      <c r="A1271" s="10">
        <v>338</v>
      </c>
      <c r="B1271" s="1">
        <f>IFERROR(VLOOKUP(ТабПозиции[[#This Row],[orderNum]],ТабЗаказы[#Data],MATCH(B$7,ТабЗаказы[#Headers],0),0),"")</f>
        <v>45610</v>
      </c>
      <c r="C1271" t="str">
        <f>MONTH(ТабПозиции[[#This Row],[date]])&amp;"/"&amp;YEAR(ТабПозиции[[#This Row],[date]])</f>
        <v>11/2024</v>
      </c>
      <c r="D1271" s="1" t="str">
        <f>IFERROR(VLOOKUP(ТабПозиции[[#This Row],[orderNum]],ТабЗаказы[#Data],MATCH(D$7,ТабЗаказы[#Headers],0),0),"")</f>
        <v/>
      </c>
      <c r="E1271" s="1" t="str">
        <f>IFERROR(VLOOKUP(ТабПозиции[[#This Row],[orderNum]],ТабЗаказы[#Data],MATCH(E$7,ТабЗаказы[#Headers],0),0),"")</f>
        <v/>
      </c>
      <c r="F1271" s="16" t="s">
        <v>1786</v>
      </c>
      <c r="G1271" s="40" t="s">
        <v>545</v>
      </c>
      <c r="I1271" s="18">
        <v>45642</v>
      </c>
      <c r="J1271" s="10">
        <v>1</v>
      </c>
      <c r="K1271" s="10">
        <v>1113</v>
      </c>
      <c r="L1271">
        <f>ТабПозиции[[#This Row],[discountPrice]]*ТабПозиции[[#This Row],[quantity]]</f>
        <v>1113</v>
      </c>
      <c r="M1271" s="10">
        <v>1113</v>
      </c>
      <c r="N1271">
        <f t="shared" si="24"/>
        <v>1113</v>
      </c>
      <c r="P12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Row],[orderNum]],ТабПозиции[orderSumm])&gt;1500),ABS(N1271*VLOOKUP(ТабПозиции[[#This Row],[orderNum]],ТабЗаказы[#Data],MATCH("Percent",ТабЗаказы[#Headers],0),0))/100,200/COUNTIF(ТабПозиции[orderNum],ТабПозиции[[#This Row],[orderNum]])),0),"")</f>
        <v>167</v>
      </c>
      <c r="Q1271">
        <f>IF(OR(ТабПозиции[[#This Row],[item]]="По штрихкоду",ТабПозиции[[#This Row],[item]]="Посылка"),ТабПозиции[[#This Row],[deliverySumm]]+ТабПозиции[[#This Row],[deliveryPost]],SUM(N1271:P1271))</f>
        <v>1280</v>
      </c>
      <c r="R1271" s="41">
        <v>1280</v>
      </c>
      <c r="S1271" s="46">
        <f>ТабПозиции[[#This Row],[totalSumm]]-ТабПозиции[[#This Row],[payment]]</f>
        <v>0</v>
      </c>
      <c r="T1271" s="18" t="s">
        <v>960</v>
      </c>
      <c r="U1271" s="40" t="s">
        <v>545</v>
      </c>
      <c r="V1271" s="40" t="str">
        <f>IF(AND(ТабПозиции[[#This Row],[Остаток]]=0,ТабПозиции[[#This Row],[Заказан]]="Да"),"Да","Нет")</f>
        <v>Да</v>
      </c>
      <c r="W1271" s="40" t="s">
        <v>545</v>
      </c>
      <c r="X1271" s="3"/>
      <c r="Y1271"/>
    </row>
    <row r="1272" spans="1:25" hidden="1" x14ac:dyDescent="0.25">
      <c r="A1272" s="10">
        <v>340</v>
      </c>
      <c r="B1272" s="1">
        <f>IFERROR(VLOOKUP(ТабПозиции[[#This Row],[orderNum]],ТабЗаказы[#Data],MATCH(B$7,ТабЗаказы[#Headers],0),0),"")</f>
        <v>45610</v>
      </c>
      <c r="C1272" t="str">
        <f>MONTH(ТабПозиции[[#This Row],[date]])&amp;"/"&amp;YEAR(ТабПозиции[[#This Row],[date]])</f>
        <v>11/2024</v>
      </c>
      <c r="D1272" s="1" t="str">
        <f>IFERROR(VLOOKUP(ТабПозиции[[#This Row],[orderNum]],ТабЗаказы[#Data],MATCH(D$7,ТабЗаказы[#Headers],0),0),"")</f>
        <v/>
      </c>
      <c r="E1272" s="1" t="str">
        <f>IFERROR(VLOOKUP(ТабПозиции[[#This Row],[orderNum]],ТабЗаказы[#Data],MATCH(E$7,ТабЗаказы[#Headers],0),0),"")</f>
        <v/>
      </c>
      <c r="F1272" s="10" t="s">
        <v>820</v>
      </c>
      <c r="G1272" s="40" t="s">
        <v>545</v>
      </c>
      <c r="H1272" s="55" t="s">
        <v>1787</v>
      </c>
      <c r="I1272" s="18">
        <v>45617</v>
      </c>
      <c r="J1272" s="10">
        <v>1</v>
      </c>
      <c r="K1272" s="10">
        <v>5200</v>
      </c>
      <c r="L1272">
        <f>ТабПозиции[[#This Row],[discountPrice]]*ТабПозиции[[#This Row],[quantity]]</f>
        <v>5200</v>
      </c>
      <c r="M1272" s="10">
        <v>5200</v>
      </c>
      <c r="N1272">
        <f t="shared" si="24"/>
        <v>5200</v>
      </c>
      <c r="O1272" s="10">
        <v>655</v>
      </c>
      <c r="P12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Row],[orderNum]],ТабПозиции[orderSumm])&gt;1500),ABS(N1272*VLOOKUP(ТабПозиции[[#This Row],[orderNum]],ТабЗаказы[#Data],MATCH("Percent",ТабЗаказы[#Headers],0),0))/100,200/COUNTIF(ТабПозиции[orderNum],ТабПозиции[[#This Row],[orderNum]])),0),"")</f>
        <v>780</v>
      </c>
      <c r="Q1272">
        <f>IF(OR(ТабПозиции[[#This Row],[item]]="По штрихкоду",ТабПозиции[[#This Row],[item]]="Посылка"),ТабПозиции[[#This Row],[deliverySumm]]+ТабПозиции[[#This Row],[deliveryPost]],SUM(N1272:P1272))</f>
        <v>1435</v>
      </c>
      <c r="R1272" s="41">
        <v>1435</v>
      </c>
      <c r="S1272" s="46">
        <f>ТабПозиции[[#This Row],[totalSumm]]-ТабПозиции[[#This Row],[payment]]</f>
        <v>0</v>
      </c>
      <c r="T1272" s="18" t="s">
        <v>1021</v>
      </c>
      <c r="U1272" s="40" t="s">
        <v>545</v>
      </c>
      <c r="V1272" s="40" t="str">
        <f>IF(AND(ТабПозиции[[#This Row],[Остаток]]=0,ТабПозиции[[#This Row],[Заказан]]="Да"),"Да","Нет")</f>
        <v>Да</v>
      </c>
      <c r="W1272" s="40" t="s">
        <v>545</v>
      </c>
      <c r="X1272" s="3"/>
      <c r="Y1272"/>
    </row>
    <row r="1273" spans="1:25" hidden="1" x14ac:dyDescent="0.25">
      <c r="A1273" s="10">
        <v>320</v>
      </c>
      <c r="B1273" s="1">
        <f>IFERROR(VLOOKUP(ТабПозиции[[#This Row],[orderNum]],ТабЗаказы[#Data],MATCH(B$7,ТабЗаказы[#Headers],0),0),"")</f>
        <v>45597</v>
      </c>
      <c r="C1273" t="str">
        <f>MONTH(ТабПозиции[[#This Row],[date]])&amp;"/"&amp;YEAR(ТабПозиции[[#This Row],[date]])</f>
        <v>11/2024</v>
      </c>
      <c r="D1273" s="1" t="str">
        <f>IFERROR(VLOOKUP(ТабПозиции[[#This Row],[orderNum]],ТабЗаказы[#Data],MATCH(D$7,ТабЗаказы[#Headers],0),0),"")</f>
        <v/>
      </c>
      <c r="E1273" s="1" t="str">
        <f>IFERROR(VLOOKUP(ТабПозиции[[#This Row],[orderNum]],ТабЗаказы[#Data],MATCH(E$7,ТабЗаказы[#Headers],0),0),"")</f>
        <v/>
      </c>
      <c r="F1273" s="10" t="s">
        <v>820</v>
      </c>
      <c r="G1273" s="40" t="s">
        <v>545</v>
      </c>
      <c r="H1273" s="28" t="s">
        <v>1788</v>
      </c>
      <c r="I1273" s="18">
        <v>45610</v>
      </c>
      <c r="J1273" s="10">
        <v>1</v>
      </c>
      <c r="K1273" s="10">
        <v>6900</v>
      </c>
      <c r="L1273">
        <f>ТабПозиции[[#This Row],[discountPrice]]*ТабПозиции[[#This Row],[quantity]]</f>
        <v>6900</v>
      </c>
      <c r="M1273" s="10">
        <v>6900</v>
      </c>
      <c r="N1273">
        <f t="shared" si="24"/>
        <v>6900</v>
      </c>
      <c r="O1273" s="10">
        <v>640</v>
      </c>
      <c r="P12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Row],[orderNum]],ТабПозиции[orderSumm])&gt;1500),ABS(N1273*VLOOKUP(ТабПозиции[[#This Row],[orderNum]],ТабЗаказы[#Data],MATCH("Percent",ТабЗаказы[#Headers],0),0))/100,200/COUNTIF(ТабПозиции[orderNum],ТабПозиции[[#This Row],[orderNum]])),0),"")</f>
        <v>690</v>
      </c>
      <c r="Q1273">
        <f>IF(OR(ТабПозиции[[#This Row],[item]]="По штрихкоду",ТабПозиции[[#This Row],[item]]="Посылка"),ТабПозиции[[#This Row],[deliverySumm]]+ТабПозиции[[#This Row],[deliveryPost]],SUM(N1273:P1273))</f>
        <v>1330</v>
      </c>
      <c r="R1273" s="41">
        <v>1330</v>
      </c>
      <c r="S1273" s="46">
        <f>ТабПозиции[[#This Row],[totalSumm]]-ТабПозиции[[#This Row],[payment]]</f>
        <v>0</v>
      </c>
      <c r="T1273" s="18" t="s">
        <v>1021</v>
      </c>
      <c r="U1273" s="40" t="s">
        <v>545</v>
      </c>
      <c r="V1273" s="40" t="str">
        <f>IF(AND(ТабПозиции[[#This Row],[Остаток]]=0,ТабПозиции[[#This Row],[Заказан]]="Да"),"Да","Нет")</f>
        <v>Да</v>
      </c>
      <c r="W1273" s="40" t="s">
        <v>545</v>
      </c>
      <c r="X1273" s="3"/>
      <c r="Y1273"/>
    </row>
    <row r="1274" spans="1:25" hidden="1" x14ac:dyDescent="0.25">
      <c r="A1274" s="10">
        <v>320</v>
      </c>
      <c r="B1274" s="1">
        <f>IFERROR(VLOOKUP(ТабПозиции[[#This Row],[orderNum]],ТабЗаказы[#Data],MATCH(B$7,ТабЗаказы[#Headers],0),0),"")</f>
        <v>45597</v>
      </c>
      <c r="C1274" t="str">
        <f>MONTH(ТабПозиции[[#This Row],[date]])&amp;"/"&amp;YEAR(ТабПозиции[[#This Row],[date]])</f>
        <v>11/2024</v>
      </c>
      <c r="D1274" s="1" t="str">
        <f>IFERROR(VLOOKUP(ТабПозиции[[#This Row],[orderNum]],ТабЗаказы[#Data],MATCH(D$7,ТабЗаказы[#Headers],0),0),"")</f>
        <v/>
      </c>
      <c r="E1274" s="1" t="str">
        <f>IFERROR(VLOOKUP(ТабПозиции[[#This Row],[orderNum]],ТабЗаказы[#Data],MATCH(E$7,ТабЗаказы[#Headers],0),0),"")</f>
        <v/>
      </c>
      <c r="F1274" s="10" t="s">
        <v>820</v>
      </c>
      <c r="G1274" s="40" t="s">
        <v>545</v>
      </c>
      <c r="H1274" s="55" t="s">
        <v>1789</v>
      </c>
      <c r="I1274" s="18">
        <v>45614</v>
      </c>
      <c r="J1274" s="10">
        <v>1</v>
      </c>
      <c r="K1274" s="10">
        <v>15210</v>
      </c>
      <c r="L1274">
        <f>ТабПозиции[[#This Row],[discountPrice]]*ТабПозиции[[#This Row],[quantity]]</f>
        <v>15210</v>
      </c>
      <c r="M1274" s="10">
        <v>15210</v>
      </c>
      <c r="N1274">
        <f t="shared" si="24"/>
        <v>15210</v>
      </c>
      <c r="P12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Row],[orderNum]],ТабПозиции[orderSumm])&gt;1500),ABS(N1274*VLOOKUP(ТабПозиции[[#This Row],[orderNum]],ТабЗаказы[#Data],MATCH("Percent",ТабЗаказы[#Headers],0),0))/100,200/COUNTIF(ТабПозиции[orderNum],ТабПозиции[[#This Row],[orderNum]])),0),"")</f>
        <v>1521</v>
      </c>
      <c r="Q1274">
        <f>IF(OR(ТабПозиции[[#This Row],[item]]="По штрихкоду",ТабПозиции[[#This Row],[item]]="Посылка"),ТабПозиции[[#This Row],[deliverySumm]]+ТабПозиции[[#This Row],[deliveryPost]],SUM(N1274:P1274))</f>
        <v>1521</v>
      </c>
      <c r="R1274" s="41">
        <v>1521</v>
      </c>
      <c r="S1274" s="46">
        <f>ТабПозиции[[#This Row],[totalSumm]]-ТабПозиции[[#This Row],[payment]]</f>
        <v>0</v>
      </c>
      <c r="T1274" s="18" t="s">
        <v>1021</v>
      </c>
      <c r="U1274" s="40" t="s">
        <v>545</v>
      </c>
      <c r="V1274" s="40" t="str">
        <f>IF(AND(ТабПозиции[[#This Row],[Остаток]]=0,ТабПозиции[[#This Row],[Заказан]]="Да"),"Да","Нет")</f>
        <v>Да</v>
      </c>
      <c r="W1274" s="40" t="s">
        <v>545</v>
      </c>
      <c r="X1274" s="3"/>
      <c r="Y1274"/>
    </row>
    <row r="1275" spans="1:25" hidden="1" x14ac:dyDescent="0.25">
      <c r="A1275" s="10">
        <v>339</v>
      </c>
      <c r="B1275" s="1">
        <f>IFERROR(VLOOKUP(ТабПозиции[[#This Row],[orderNum]],ТабЗаказы[#Data],MATCH(B$7,ТабЗаказы[#Headers],0),0),"")</f>
        <v>45610</v>
      </c>
      <c r="C1275" t="str">
        <f>MONTH(ТабПозиции[[#This Row],[date]])&amp;"/"&amp;YEAR(ТабПозиции[[#This Row],[date]])</f>
        <v>11/2024</v>
      </c>
      <c r="D1275" s="1" t="str">
        <f>IFERROR(VLOOKUP(ТабПозиции[[#This Row],[orderNum]],ТабЗаказы[#Data],MATCH(D$7,ТабЗаказы[#Headers],0),0),"")</f>
        <v/>
      </c>
      <c r="E1275" s="1" t="str">
        <f>IFERROR(VLOOKUP(ТабПозиции[[#This Row],[orderNum]],ТабЗаказы[#Data],MATCH(E$7,ТабЗаказы[#Headers],0),0),"")</f>
        <v/>
      </c>
      <c r="F1275" s="10" t="s">
        <v>820</v>
      </c>
      <c r="G1275" s="40" t="s">
        <v>545</v>
      </c>
      <c r="H1275" s="28" t="s">
        <v>1790</v>
      </c>
      <c r="I1275" s="18">
        <v>45626</v>
      </c>
      <c r="J1275" s="10">
        <v>1</v>
      </c>
      <c r="K1275" s="10">
        <v>30160</v>
      </c>
      <c r="L1275">
        <f>ТабПозиции[[#This Row],[discountPrice]]*ТабПозиции[[#This Row],[quantity]]</f>
        <v>30160</v>
      </c>
      <c r="M1275" s="10">
        <v>30160</v>
      </c>
      <c r="N1275">
        <f t="shared" si="24"/>
        <v>30160</v>
      </c>
      <c r="P12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Row],[orderNum]],ТабПозиции[orderSumm])&gt;1500),ABS(N1275*VLOOKUP(ТабПозиции[[#This Row],[orderNum]],ТабЗаказы[#Data],MATCH("Percent",ТабЗаказы[#Headers],0),0))/100,200/COUNTIF(ТабПозиции[orderNum],ТабПозиции[[#This Row],[orderNum]])),0),"")</f>
        <v>3016</v>
      </c>
      <c r="Q1275">
        <f>IF(OR(ТабПозиции[[#This Row],[item]]="По штрихкоду",ТабПозиции[[#This Row],[item]]="Посылка"),ТабПозиции[[#This Row],[deliverySumm]]+ТабПозиции[[#This Row],[deliveryPost]],SUM(N1275:P1275))</f>
        <v>3016</v>
      </c>
      <c r="R1275" s="41">
        <v>3016</v>
      </c>
      <c r="S1275" s="46">
        <f>ТабПозиции[[#This Row],[totalSumm]]-ТабПозиции[[#This Row],[payment]]</f>
        <v>0</v>
      </c>
      <c r="T1275" s="18" t="s">
        <v>1021</v>
      </c>
      <c r="U1275" s="40" t="s">
        <v>545</v>
      </c>
      <c r="V1275" s="40" t="str">
        <f>IF(AND(ТабПозиции[[#This Row],[Остаток]]=0,ТабПозиции[[#This Row],[Заказан]]="Да"),"Да","Нет")</f>
        <v>Да</v>
      </c>
      <c r="W1275" s="40" t="str">
        <f>IF(AND(ТабПозиции[[#This Row],[Остаток]]=0,ТабПозиции[[#This Row],[Заказан]]="Да"),"Да","Нет")</f>
        <v>Да</v>
      </c>
      <c r="X1275" s="3"/>
      <c r="Y1275"/>
    </row>
    <row r="1276" spans="1:25" hidden="1" x14ac:dyDescent="0.25">
      <c r="A1276" s="10">
        <v>338</v>
      </c>
      <c r="B1276" s="1">
        <f>IFERROR(VLOOKUP(ТабПозиции[[#This Row],[orderNum]],ТабЗаказы[#Data],MATCH(B$7,ТабЗаказы[#Headers],0),0),"")</f>
        <v>45610</v>
      </c>
      <c r="C1276" t="str">
        <f>MONTH(ТабПозиции[[#This Row],[date]])&amp;"/"&amp;YEAR(ТабПозиции[[#This Row],[date]])</f>
        <v>11/2024</v>
      </c>
      <c r="D1276" s="1" t="str">
        <f>IFERROR(VLOOKUP(ТабПозиции[[#This Row],[orderNum]],ТабЗаказы[#Data],MATCH(D$7,ТабЗаказы[#Headers],0),0),"")</f>
        <v/>
      </c>
      <c r="E1276" s="1" t="str">
        <f>IFERROR(VLOOKUP(ТабПозиции[[#This Row],[orderNum]],ТабЗаказы[#Data],MATCH(E$7,ТабЗаказы[#Headers],0),0),"")</f>
        <v/>
      </c>
      <c r="F1276" s="16" t="s">
        <v>1791</v>
      </c>
      <c r="G1276" s="40" t="s">
        <v>545</v>
      </c>
      <c r="I1276" s="18">
        <v>45612</v>
      </c>
      <c r="J1276" s="10">
        <v>1</v>
      </c>
      <c r="K1276" s="10">
        <v>1497</v>
      </c>
      <c r="L1276">
        <f>ТабПозиции[[#This Row],[discountPrice]]*ТабПозиции[[#This Row],[quantity]]</f>
        <v>1497</v>
      </c>
      <c r="M1276" s="10">
        <v>1605</v>
      </c>
      <c r="N1276">
        <f t="shared" si="24"/>
        <v>1605</v>
      </c>
      <c r="P12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Row],[orderNum]],ТабПозиции[orderSumm])&gt;1500),ABS(N1276*VLOOKUP(ТабПозиции[[#This Row],[orderNum]],ТабЗаказы[#Data],MATCH("Percent",ТабЗаказы[#Headers],0),0))/100,200/COUNTIF(ТабПозиции[orderNum],ТабПозиции[[#This Row],[orderNum]])),0),"")</f>
        <v>241</v>
      </c>
      <c r="Q1276">
        <f>IF(OR(ТабПозиции[[#This Row],[item]]="По штрихкоду",ТабПозиции[[#This Row],[item]]="Посылка"),ТабПозиции[[#This Row],[deliverySumm]]+ТабПозиции[[#This Row],[deliveryPost]],SUM(N1276:P1276))</f>
        <v>1846</v>
      </c>
      <c r="R1276" s="41">
        <v>1846</v>
      </c>
      <c r="S1276" s="46">
        <f>ТабПозиции[[#This Row],[totalSumm]]-ТабПозиции[[#This Row],[payment]]</f>
        <v>0</v>
      </c>
      <c r="T1276" s="18" t="s">
        <v>960</v>
      </c>
      <c r="U1276" s="40" t="s">
        <v>545</v>
      </c>
      <c r="V1276" s="40" t="str">
        <f>IF(AND(ТабПозиции[[#This Row],[Остаток]]=0,ТабПозиции[[#This Row],[Заказан]]="Да"),"Да","Нет")</f>
        <v>Да</v>
      </c>
      <c r="W1276" s="40" t="s">
        <v>545</v>
      </c>
      <c r="X1276" s="3"/>
      <c r="Y1276"/>
    </row>
    <row r="1277" spans="1:25" hidden="1" x14ac:dyDescent="0.25">
      <c r="A1277" s="10">
        <v>341</v>
      </c>
      <c r="B1277" s="1">
        <f>IFERROR(VLOOKUP(ТабПозиции[[#This Row],[orderNum]],ТабЗаказы[#Data],MATCH(B$7,ТабЗаказы[#Headers],0),0),"")</f>
        <v>45611</v>
      </c>
      <c r="C1277" t="str">
        <f>MONTH(ТабПозиции[[#This Row],[date]])&amp;"/"&amp;YEAR(ТабПозиции[[#This Row],[date]])</f>
        <v>11/2024</v>
      </c>
      <c r="D1277" s="1" t="str">
        <f>IFERROR(VLOOKUP(ТабПозиции[[#This Row],[orderNum]],ТабЗаказы[#Data],MATCH(D$7,ТабЗаказы[#Headers],0),0),"")</f>
        <v/>
      </c>
      <c r="E1277" s="1" t="str">
        <f>IFERROR(VLOOKUP(ТабПозиции[[#This Row],[orderNum]],ТабЗаказы[#Data],MATCH(E$7,ТабЗаказы[#Headers],0),0),"")</f>
        <v/>
      </c>
      <c r="F1277" s="10" t="s">
        <v>32</v>
      </c>
      <c r="G1277" s="40" t="s">
        <v>545</v>
      </c>
      <c r="I1277" s="18">
        <v>45611</v>
      </c>
      <c r="J1277" s="10">
        <v>1</v>
      </c>
      <c r="K1277" s="10">
        <v>1243</v>
      </c>
      <c r="L1277">
        <f>ТабПозиции[[#This Row],[discountPrice]]*ТабПозиции[[#This Row],[quantity]]</f>
        <v>1243</v>
      </c>
      <c r="M1277" s="10">
        <v>1243</v>
      </c>
      <c r="N1277">
        <f t="shared" si="24"/>
        <v>1243</v>
      </c>
      <c r="P12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Row],[orderNum]],ТабПозиции[orderSumm])&gt;1500),ABS(N1277*VLOOKUP(ТабПозиции[[#This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277">
        <f>IF(OR(ТабПозиции[[#This Row],[item]]="По штрихкоду",ТабПозиции[[#This Row],[item]]="Посылка"),ТабПозиции[[#This Row],[deliverySumm]]+ТабПозиции[[#This Row],[deliveryPost]],SUM(N1277:P1277))</f>
        <v>200</v>
      </c>
      <c r="R1277">
        <f>IF(OR(ТабПозиции[[#This Row],[item]]="По штрихкоду",ТабПозиции[[#This Row],[item]]="Посылка"),ТабПозиции[[#This Row],[deliverySumm]]+ТабПозиции[[#This Row],[deliveryPost]],SUM(O1277:Q1277))</f>
        <v>200</v>
      </c>
      <c r="S1277" s="46">
        <f>ТабПозиции[[#This Row],[totalSumm]]-ТабПозиции[[#This Row],[payment]]</f>
        <v>0</v>
      </c>
      <c r="T1277" s="18" t="s">
        <v>960</v>
      </c>
      <c r="U1277" s="40" t="s">
        <v>545</v>
      </c>
      <c r="V1277" s="40" t="str">
        <f>IF(AND(ТабПозиции[[#This Row],[Остаток]]=0,ТабПозиции[[#This Row],[Заказан]]="Да"),"Да","Нет")</f>
        <v>Да</v>
      </c>
      <c r="W1277" s="40" t="s">
        <v>545</v>
      </c>
      <c r="X1277" s="3"/>
      <c r="Y1277"/>
    </row>
    <row r="1278" spans="1:25" hidden="1" x14ac:dyDescent="0.25">
      <c r="A1278" s="10">
        <v>342</v>
      </c>
      <c r="B1278" s="1">
        <f>IFERROR(VLOOKUP(ТабПозиции[[#This Row],[orderNum]],ТабЗаказы[#Data],MATCH(B$7,ТабЗаказы[#Headers],0),0),"")</f>
        <v>45611</v>
      </c>
      <c r="C1278" t="str">
        <f>MONTH(ТабПозиции[[#This Row],[date]])&amp;"/"&amp;YEAR(ТабПозиции[[#This Row],[date]])</f>
        <v>11/2024</v>
      </c>
      <c r="D1278" s="1" t="str">
        <f>IFERROR(VLOOKUP(ТабПозиции[[#This Row],[orderNum]],ТабЗаказы[#Data],MATCH(D$7,ТабЗаказы[#Headers],0),0),"")</f>
        <v/>
      </c>
      <c r="E1278" s="1" t="str">
        <f>IFERROR(VLOOKUP(ТабПозиции[[#This Row],[orderNum]],ТабЗаказы[#Data],MATCH(E$7,ТабЗаказы[#Headers],0),0),"")</f>
        <v/>
      </c>
      <c r="F1278" s="10" t="s">
        <v>32</v>
      </c>
      <c r="G1278" s="40" t="s">
        <v>545</v>
      </c>
      <c r="I1278" s="18">
        <v>45611</v>
      </c>
      <c r="J1278" s="10">
        <v>1</v>
      </c>
      <c r="K1278" s="10">
        <v>1035</v>
      </c>
      <c r="L1278">
        <f>ТабПозиции[[#This Row],[discountPrice]]*ТабПозиции[[#This Row],[quantity]]</f>
        <v>1035</v>
      </c>
      <c r="M1278" s="10">
        <v>1035</v>
      </c>
      <c r="N1278">
        <f t="shared" si="24"/>
        <v>1035</v>
      </c>
      <c r="P12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Row],[orderNum]],ТабПозиции[orderSumm])&gt;1500),ABS(N1278*VLOOKUP(ТабПозиции[[#This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278">
        <f>IF(OR(ТабПозиции[[#This Row],[item]]="По штрихкоду",ТабПозиции[[#This Row],[item]]="Посылка"),ТабПозиции[[#This Row],[deliverySumm]]+ТабПозиции[[#This Row],[deliveryPost]],SUM(N1278:P1278))</f>
        <v>200</v>
      </c>
      <c r="R1278" s="41">
        <v>200</v>
      </c>
      <c r="S1278" s="46">
        <f>ТабПозиции[[#This Row],[totalSumm]]-ТабПозиции[[#This Row],[payment]]</f>
        <v>0</v>
      </c>
      <c r="T1278" s="18" t="s">
        <v>960</v>
      </c>
      <c r="U1278" s="40" t="s">
        <v>545</v>
      </c>
      <c r="V1278" s="40" t="str">
        <f>IF(AND(ТабПозиции[[#This Row],[Остаток]]=0,ТабПозиции[[#This Row],[Заказан]]="Да"),"Да","Нет")</f>
        <v>Да</v>
      </c>
      <c r="W1278" s="40" t="s">
        <v>545</v>
      </c>
      <c r="X1278" s="3"/>
      <c r="Y1278"/>
    </row>
    <row r="1279" spans="1:25" hidden="1" x14ac:dyDescent="0.25">
      <c r="A1279" s="10">
        <v>343</v>
      </c>
      <c r="B1279" s="1">
        <f>IFERROR(VLOOKUP(ТабПозиции[[#This Row],[orderNum]],ТабЗаказы[#Data],MATCH(B$7,ТабЗаказы[#Headers],0),0),"")</f>
        <v>45611</v>
      </c>
      <c r="C1279" t="str">
        <f>MONTH(ТабПозиции[[#This Row],[date]])&amp;"/"&amp;YEAR(ТабПозиции[[#This Row],[date]])</f>
        <v>11/2024</v>
      </c>
      <c r="D1279" s="1" t="str">
        <f>IFERROR(VLOOKUP(ТабПозиции[[#This Row],[orderNum]],ТабЗаказы[#Data],MATCH(D$7,ТабЗаказы[#Headers],0),0),"")</f>
        <v/>
      </c>
      <c r="E1279" s="1" t="str">
        <f>IFERROR(VLOOKUP(ТабПозиции[[#This Row],[orderNum]],ТабЗаказы[#Data],MATCH(E$7,ТабЗаказы[#Headers],0),0),"")</f>
        <v/>
      </c>
      <c r="F1279" s="10" t="s">
        <v>32</v>
      </c>
      <c r="G1279" s="40" t="s">
        <v>545</v>
      </c>
      <c r="I1279" s="18">
        <v>45611</v>
      </c>
      <c r="J1279" s="10">
        <v>1</v>
      </c>
      <c r="K1279" s="10">
        <v>714</v>
      </c>
      <c r="L1279">
        <f>ТабПозиции[[#This Row],[discountPrice]]*ТабПозиции[[#This Row],[quantity]]</f>
        <v>714</v>
      </c>
      <c r="M1279" s="10">
        <v>714</v>
      </c>
      <c r="N1279">
        <f t="shared" si="24"/>
        <v>714</v>
      </c>
      <c r="P12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Row],[orderNum]],ТабПозиции[orderSumm])&gt;1500),ABS(N1279*VLOOKUP(ТабПозиции[[#This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279">
        <f>IF(OR(ТабПозиции[[#This Row],[item]]="По штрихкоду",ТабПозиции[[#This Row],[item]]="Посылка"),ТабПозиции[[#This Row],[deliverySumm]]+ТабПозиции[[#This Row],[deliveryPost]],SUM(N1279:P1279))</f>
        <v>200</v>
      </c>
      <c r="R1279" s="41">
        <v>200</v>
      </c>
      <c r="S1279" s="46">
        <f>ТабПозиции[[#This Row],[totalSumm]]-ТабПозиции[[#This Row],[payment]]</f>
        <v>0</v>
      </c>
      <c r="T1279" s="18" t="s">
        <v>960</v>
      </c>
      <c r="U1279" s="40" t="s">
        <v>545</v>
      </c>
      <c r="V1279" s="40" t="str">
        <f>IF(AND(ТабПозиции[[#This Row],[Остаток]]=0,ТабПозиции[[#This Row],[Заказан]]="Да"),"Да","Нет")</f>
        <v>Да</v>
      </c>
      <c r="W1279" s="40" t="s">
        <v>545</v>
      </c>
      <c r="X1279" s="3"/>
      <c r="Y1279"/>
    </row>
    <row r="1280" spans="1:25" hidden="1" x14ac:dyDescent="0.25">
      <c r="A1280" s="10">
        <v>337</v>
      </c>
      <c r="B1280" s="1">
        <f>IFERROR(VLOOKUP(ТабПозиции[[#This Row],[orderNum]],ТабЗаказы[#Data],MATCH(B$7,ТабЗаказы[#Headers],0),0),"")</f>
        <v>45610</v>
      </c>
      <c r="C1280" t="str">
        <f>MONTH(ТабПозиции[[#This Row],[date]])&amp;"/"&amp;YEAR(ТабПозиции[[#This Row],[date]])</f>
        <v>11/2024</v>
      </c>
      <c r="D1280" s="1" t="str">
        <f>IFERROR(VLOOKUP(ТабПозиции[[#This Row],[orderNum]],ТабЗаказы[#Data],MATCH(D$7,ТабЗаказы[#Headers],0),0),"")</f>
        <v/>
      </c>
      <c r="E1280" s="1" t="str">
        <f>IFERROR(VLOOKUP(ТабПозиции[[#This Row],[orderNum]],ТабЗаказы[#Data],MATCH(E$7,ТабЗаказы[#Headers],0),0),"")</f>
        <v/>
      </c>
      <c r="F1280" s="16" t="s">
        <v>1801</v>
      </c>
      <c r="G1280" s="40" t="s">
        <v>545</v>
      </c>
      <c r="I1280" s="18">
        <v>45612</v>
      </c>
      <c r="J1280" s="10">
        <v>1</v>
      </c>
      <c r="K1280" s="10">
        <v>1432</v>
      </c>
      <c r="L1280">
        <f>ТабПозиции[[#This Row],[discountPrice]]*ТабПозиции[[#This Row],[quantity]]</f>
        <v>1432</v>
      </c>
      <c r="M1280" s="10">
        <v>1535</v>
      </c>
      <c r="N1280">
        <f t="shared" si="24"/>
        <v>1535</v>
      </c>
      <c r="P12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Row],[orderNum]],ТабПозиции[orderSumm])&gt;1500),ABS(N1280*VLOOKUP(ТабПозиции[[#This Row],[orderNum]],ТабЗаказы[#Data],MATCH("Percent",ТабЗаказы[#Headers],0),0))/100,200/COUNTIF(ТабПозиции[orderNum],ТабПозиции[[#This Row],[orderNum]])),0),"")</f>
        <v>230</v>
      </c>
      <c r="Q1280">
        <f>IF(OR(ТабПозиции[[#This Row],[item]]="По штрихкоду",ТабПозиции[[#This Row],[item]]="Посылка"),ТабПозиции[[#This Row],[deliverySumm]]+ТабПозиции[[#This Row],[deliveryPost]],SUM(N1280:P1280))</f>
        <v>1765</v>
      </c>
      <c r="R1280" s="41">
        <v>1765</v>
      </c>
      <c r="S1280" s="46">
        <f>ТабПозиции[[#This Row],[totalSumm]]-ТабПозиции[[#This Row],[payment]]</f>
        <v>0</v>
      </c>
      <c r="T1280" s="18" t="s">
        <v>960</v>
      </c>
      <c r="U1280" s="40" t="s">
        <v>545</v>
      </c>
      <c r="V1280" s="40" t="str">
        <f>IF(AND(ТабПозиции[[#This Row],[Остаток]]=0,ТабПозиции[[#This Row],[Заказан]]="Да"),"Да","Нет")</f>
        <v>Да</v>
      </c>
      <c r="W1280" s="40" t="s">
        <v>545</v>
      </c>
      <c r="X1280" s="3"/>
      <c r="Y1280"/>
    </row>
    <row r="1281" spans="1:25" hidden="1" x14ac:dyDescent="0.25">
      <c r="A1281" s="10">
        <v>337</v>
      </c>
      <c r="B1281" s="1">
        <f>IFERROR(VLOOKUP(ТабПозиции[[#This Row],[orderNum]],ТабЗаказы[#Data],MATCH(B$7,ТабЗаказы[#Headers],0),0),"")</f>
        <v>45610</v>
      </c>
      <c r="C1281" t="str">
        <f>MONTH(ТабПозиции[[#This Row],[date]])&amp;"/"&amp;YEAR(ТабПозиции[[#This Row],[date]])</f>
        <v>11/2024</v>
      </c>
      <c r="D1281" s="1" t="str">
        <f>IFERROR(VLOOKUP(ТабПозиции[[#This Row],[orderNum]],ТабЗаказы[#Data],MATCH(D$7,ТабЗаказы[#Headers],0),0),"")</f>
        <v/>
      </c>
      <c r="E1281" s="1" t="str">
        <f>IFERROR(VLOOKUP(ТабПозиции[[#This Row],[orderNum]],ТабЗаказы[#Data],MATCH(E$7,ТабЗаказы[#Headers],0),0),"")</f>
        <v/>
      </c>
      <c r="F1281" s="16" t="s">
        <v>1801</v>
      </c>
      <c r="G1281" s="40" t="s">
        <v>545</v>
      </c>
      <c r="I1281" s="18">
        <v>45614</v>
      </c>
      <c r="J1281" s="10">
        <v>1</v>
      </c>
      <c r="K1281" s="10">
        <v>863</v>
      </c>
      <c r="L1281">
        <f>ТабПозиции[[#This Row],[discountPrice]]*ТабПозиции[[#This Row],[quantity]]</f>
        <v>863</v>
      </c>
      <c r="M1281" s="10">
        <v>926</v>
      </c>
      <c r="N1281">
        <f t="shared" si="24"/>
        <v>926</v>
      </c>
      <c r="P12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Row],[orderNum]],ТабПозиции[orderSumm])&gt;1500),ABS(N1281*VLOOKUP(ТабПозиции[[#This Row],[orderNum]],ТабЗаказы[#Data],MATCH("Percent",ТабЗаказы[#Headers],0),0))/100,200/COUNTIF(ТабПозиции[orderNum],ТабПозиции[[#This Row],[orderNum]])),0),"")</f>
        <v>139</v>
      </c>
      <c r="Q1281">
        <f>IF(OR(ТабПозиции[[#This Row],[item]]="По штрихкоду",ТабПозиции[[#This Row],[item]]="Посылка"),ТабПозиции[[#This Row],[deliverySumm]]+ТабПозиции[[#This Row],[deliveryPost]],SUM(N1281:P1281))</f>
        <v>1065</v>
      </c>
      <c r="R1281" s="41">
        <v>1065</v>
      </c>
      <c r="S1281" s="46">
        <f>ТабПозиции[[#This Row],[totalSumm]]-ТабПозиции[[#This Row],[payment]]</f>
        <v>0</v>
      </c>
      <c r="T1281" s="18" t="s">
        <v>960</v>
      </c>
      <c r="U1281" s="40" t="s">
        <v>545</v>
      </c>
      <c r="V1281" s="40" t="str">
        <f>IF(AND(ТабПозиции[[#This Row],[Остаток]]=0,ТабПозиции[[#This Row],[Заказан]]="Да"),"Да","Нет")</f>
        <v>Да</v>
      </c>
      <c r="W1281" s="40" t="s">
        <v>545</v>
      </c>
      <c r="X1281" s="3"/>
      <c r="Y1281"/>
    </row>
    <row r="1282" spans="1:25" hidden="1" x14ac:dyDescent="0.25">
      <c r="A1282" s="10">
        <v>337</v>
      </c>
      <c r="B1282" s="1">
        <f>IFERROR(VLOOKUP(ТабПозиции[[#This Row],[orderNum]],ТабЗаказы[#Data],MATCH(B$7,ТабЗаказы[#Headers],0),0),"")</f>
        <v>45610</v>
      </c>
      <c r="C1282" t="str">
        <f>MONTH(ТабПозиции[[#This Row],[date]])&amp;"/"&amp;YEAR(ТабПозиции[[#This Row],[date]])</f>
        <v>11/2024</v>
      </c>
      <c r="D1282" s="1" t="str">
        <f>IFERROR(VLOOKUP(ТабПозиции[[#This Row],[orderNum]],ТабЗаказы[#Data],MATCH(D$7,ТабЗаказы[#Headers],0),0),"")</f>
        <v/>
      </c>
      <c r="E1282" s="1" t="str">
        <f>IFERROR(VLOOKUP(ТабПозиции[[#This Row],[orderNum]],ТабЗаказы[#Data],MATCH(E$7,ТабЗаказы[#Headers],0),0),"")</f>
        <v/>
      </c>
      <c r="F1282" s="16" t="s">
        <v>1802</v>
      </c>
      <c r="G1282" s="40" t="s">
        <v>545</v>
      </c>
      <c r="I1282" s="18">
        <v>45612</v>
      </c>
      <c r="J1282" s="10">
        <v>1</v>
      </c>
      <c r="K1282" s="10">
        <v>966</v>
      </c>
      <c r="L1282">
        <f>ТабПозиции[[#This Row],[discountPrice]]*ТабПозиции[[#This Row],[quantity]]</f>
        <v>966</v>
      </c>
      <c r="M1282" s="10">
        <v>1035</v>
      </c>
      <c r="N1282">
        <f t="shared" si="24"/>
        <v>1035</v>
      </c>
      <c r="P12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Row],[orderNum]],ТабПозиции[orderSumm])&gt;1500),ABS(N1282*VLOOKUP(ТабПозиции[[#This Row],[orderNum]],ТабЗаказы[#Data],MATCH("Percent",ТабЗаказы[#Headers],0),0))/100,200/COUNTIF(ТабПозиции[orderNum],ТабПозиции[[#This Row],[orderNum]])),0),"")</f>
        <v>155</v>
      </c>
      <c r="Q1282">
        <f>IF(OR(ТабПозиции[[#This Row],[item]]="По штрихкоду",ТабПозиции[[#This Row],[item]]="Посылка"),ТабПозиции[[#This Row],[deliverySumm]]+ТабПозиции[[#This Row],[deliveryPost]],SUM(N1282:P1282))</f>
        <v>1190</v>
      </c>
      <c r="R1282" s="41">
        <v>1190</v>
      </c>
      <c r="S1282" s="46">
        <f>ТабПозиции[[#This Row],[totalSumm]]-ТабПозиции[[#This Row],[payment]]</f>
        <v>0</v>
      </c>
      <c r="T1282" s="18" t="s">
        <v>960</v>
      </c>
      <c r="U1282" s="40" t="s">
        <v>545</v>
      </c>
      <c r="V1282" s="40" t="str">
        <f>IF(AND(ТабПозиции[[#This Row],[Остаток]]=0,ТабПозиции[[#This Row],[Заказан]]="Да"),"Да","Нет")</f>
        <v>Да</v>
      </c>
      <c r="W1282" s="40" t="s">
        <v>545</v>
      </c>
      <c r="X1282" s="3"/>
      <c r="Y1282"/>
    </row>
    <row r="1283" spans="1:25" hidden="1" x14ac:dyDescent="0.25">
      <c r="A1283" s="10">
        <v>337</v>
      </c>
      <c r="B1283" s="1">
        <f>IFERROR(VLOOKUP(ТабПозиции[[#This Row],[orderNum]],ТабЗаказы[#Data],MATCH(B$7,ТабЗаказы[#Headers],0),0),"")</f>
        <v>45610</v>
      </c>
      <c r="C1283" t="str">
        <f>MONTH(ТабПозиции[[#This Row],[date]])&amp;"/"&amp;YEAR(ТабПозиции[[#This Row],[date]])</f>
        <v>11/2024</v>
      </c>
      <c r="D1283" s="1" t="str">
        <f>IFERROR(VLOOKUP(ТабПозиции[[#This Row],[orderNum]],ТабЗаказы[#Data],MATCH(D$7,ТабЗаказы[#Headers],0),0),"")</f>
        <v/>
      </c>
      <c r="E1283" s="1" t="str">
        <f>IFERROR(VLOOKUP(ТабПозиции[[#This Row],[orderNum]],ТабЗаказы[#Data],MATCH(E$7,ТабЗаказы[#Headers],0),0),"")</f>
        <v/>
      </c>
      <c r="F1283" s="16" t="s">
        <v>1803</v>
      </c>
      <c r="G1283" s="40" t="s">
        <v>545</v>
      </c>
      <c r="I1283" s="18">
        <v>45614</v>
      </c>
      <c r="J1283" s="10">
        <v>1</v>
      </c>
      <c r="K1283" s="10">
        <v>997</v>
      </c>
      <c r="L1283">
        <f>ТабПозиции[[#This Row],[discountPrice]]*ТабПозиции[[#This Row],[quantity]]</f>
        <v>997</v>
      </c>
      <c r="M1283" s="10">
        <v>1056</v>
      </c>
      <c r="N1283">
        <f t="shared" si="24"/>
        <v>1056</v>
      </c>
      <c r="P12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Row],[orderNum]],ТабПозиции[orderSumm])&gt;1500),ABS(N1283*VLOOKUP(ТабПозиции[[#This Row],[orderNum]],ТабЗаказы[#Data],MATCH("Percent",ТабЗаказы[#Headers],0),0))/100,200/COUNTIF(ТабПозиции[orderNum],ТабПозиции[[#This Row],[orderNum]])),0),"")</f>
        <v>158</v>
      </c>
      <c r="Q1283">
        <f>IF(OR(ТабПозиции[[#This Row],[item]]="По штрихкоду",ТабПозиции[[#This Row],[item]]="Посылка"),ТабПозиции[[#This Row],[deliverySumm]]+ТабПозиции[[#This Row],[deliveryPost]],SUM(N1283:P1283))</f>
        <v>1214</v>
      </c>
      <c r="R1283" s="41">
        <v>1214</v>
      </c>
      <c r="S1283" s="46">
        <f>ТабПозиции[[#This Row],[totalSumm]]-ТабПозиции[[#This Row],[payment]]</f>
        <v>0</v>
      </c>
      <c r="T1283" s="18" t="s">
        <v>960</v>
      </c>
      <c r="U1283" s="40" t="s">
        <v>545</v>
      </c>
      <c r="V1283" s="40" t="str">
        <f>IF(AND(ТабПозиции[[#This Row],[Остаток]]=0,ТабПозиции[[#This Row],[Заказан]]="Да"),"Да","Нет")</f>
        <v>Да</v>
      </c>
      <c r="W1283" s="40" t="s">
        <v>545</v>
      </c>
      <c r="X1283" s="3"/>
      <c r="Y1283"/>
    </row>
    <row r="1284" spans="1:25" hidden="1" x14ac:dyDescent="0.25">
      <c r="A1284" s="10">
        <v>337</v>
      </c>
      <c r="B1284" s="1">
        <f>IFERROR(VLOOKUP(ТабПозиции[[#This Row],[orderNum]],ТабЗаказы[#Data],MATCH(B$7,ТабЗаказы[#Headers],0),0),"")</f>
        <v>45610</v>
      </c>
      <c r="C1284" t="str">
        <f>MONTH(ТабПозиции[[#This Row],[date]])&amp;"/"&amp;YEAR(ТабПозиции[[#This Row],[date]])</f>
        <v>11/2024</v>
      </c>
      <c r="D1284" s="1" t="str">
        <f>IFERROR(VLOOKUP(ТабПозиции[[#This Row],[orderNum]],ТабЗаказы[#Data],MATCH(D$7,ТабЗаказы[#Headers],0),0),"")</f>
        <v/>
      </c>
      <c r="E1284" s="1" t="str">
        <f>IFERROR(VLOOKUP(ТабПозиции[[#This Row],[orderNum]],ТабЗаказы[#Data],MATCH(E$7,ТабЗаказы[#Headers],0),0),"")</f>
        <v/>
      </c>
      <c r="F1284" s="16" t="s">
        <v>929</v>
      </c>
      <c r="G1284" s="40" t="s">
        <v>545</v>
      </c>
      <c r="I1284" s="18">
        <v>45612</v>
      </c>
      <c r="J1284" s="10">
        <v>1</v>
      </c>
      <c r="K1284" s="10">
        <v>766</v>
      </c>
      <c r="L1284">
        <f>ТабПозиции[[#This Row],[discountPrice]]*ТабПозиции[[#This Row],[quantity]]</f>
        <v>766</v>
      </c>
      <c r="M1284" s="10">
        <v>821</v>
      </c>
      <c r="N1284">
        <f t="shared" si="24"/>
        <v>821</v>
      </c>
      <c r="P12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Row],[orderNum]],ТабПозиции[orderSumm])&gt;1500),ABS(N1284*VLOOKUP(ТабПозиции[[#This Row],[orderNum]],ТабЗаказы[#Data],MATCH("Percent",ТабЗаказы[#Headers],0),0))/100,200/COUNTIF(ТабПозиции[orderNum],ТабПозиции[[#This Row],[orderNum]])),0),"")</f>
        <v>123</v>
      </c>
      <c r="Q1284">
        <f>IF(OR(ТабПозиции[[#This Row],[item]]="По штрихкоду",ТабПозиции[[#This Row],[item]]="Посылка"),ТабПозиции[[#This Row],[deliverySumm]]+ТабПозиции[[#This Row],[deliveryPost]],SUM(N1284:P1284))</f>
        <v>944</v>
      </c>
      <c r="R1284" s="41">
        <v>944</v>
      </c>
      <c r="S1284" s="46">
        <f>ТабПозиции[[#This Row],[totalSumm]]-ТабПозиции[[#This Row],[payment]]</f>
        <v>0</v>
      </c>
      <c r="T1284" s="18" t="s">
        <v>960</v>
      </c>
      <c r="U1284" s="40" t="s">
        <v>545</v>
      </c>
      <c r="V1284" s="40" t="str">
        <f>IF(AND(ТабПозиции[[#This Row],[Остаток]]=0,ТабПозиции[[#This Row],[Заказан]]="Да"),"Да","Нет")</f>
        <v>Да</v>
      </c>
      <c r="W1284" s="40" t="s">
        <v>545</v>
      </c>
      <c r="X1284" s="3"/>
      <c r="Y1284"/>
    </row>
    <row r="1285" spans="1:25" hidden="1" x14ac:dyDescent="0.25">
      <c r="A1285" s="10">
        <v>338</v>
      </c>
      <c r="B1285" s="1">
        <f>IFERROR(VLOOKUP(ТабПозиции[[#This Row],[orderNum]],ТабЗаказы[#Data],MATCH(B$7,ТабЗаказы[#Headers],0),0),"")</f>
        <v>45610</v>
      </c>
      <c r="C1285" t="str">
        <f>MONTH(ТабПозиции[[#This Row],[date]])&amp;"/"&amp;YEAR(ТабПозиции[[#This Row],[date]])</f>
        <v>11/2024</v>
      </c>
      <c r="D1285" s="1" t="str">
        <f>IFERROR(VLOOKUP(ТабПозиции[[#This Row],[orderNum]],ТабЗаказы[#Data],MATCH(D$7,ТабЗаказы[#Headers],0),0),"")</f>
        <v/>
      </c>
      <c r="E1285" s="1" t="str">
        <f>IFERROR(VLOOKUP(ТабПозиции[[#This Row],[orderNum]],ТабЗаказы[#Data],MATCH(E$7,ТабЗаказы[#Headers],0),0),"")</f>
        <v/>
      </c>
      <c r="F1285" s="16" t="s">
        <v>1804</v>
      </c>
      <c r="G1285" s="40" t="s">
        <v>545</v>
      </c>
      <c r="I1285" s="18">
        <v>45615</v>
      </c>
      <c r="J1285" s="10">
        <v>3</v>
      </c>
      <c r="K1285" s="10">
        <v>549</v>
      </c>
      <c r="L1285">
        <f>ТабПозиции[[#This Row],[discountPrice]]*ТабПозиции[[#This Row],[quantity]]</f>
        <v>1647</v>
      </c>
      <c r="M1285" s="10">
        <v>589</v>
      </c>
      <c r="N1285">
        <f t="shared" si="24"/>
        <v>1767</v>
      </c>
      <c r="P12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Row],[orderNum]],ТабПозиции[orderSumm])&gt;1500),ABS(N1285*VLOOKUP(ТабПозиции[[#This Row],[orderNum]],ТабЗаказы[#Data],MATCH("Percent",ТабЗаказы[#Headers],0),0))/100,200/COUNTIF(ТабПозиции[orderNum],ТабПозиции[[#This Row],[orderNum]])),0),"")</f>
        <v>265</v>
      </c>
      <c r="Q1285">
        <f>IF(OR(ТабПозиции[[#This Row],[item]]="По штрихкоду",ТабПозиции[[#This Row],[item]]="Посылка"),ТабПозиции[[#This Row],[deliverySumm]]+ТабПозиции[[#This Row],[deliveryPost]],SUM(N1285:P1285))</f>
        <v>2032</v>
      </c>
      <c r="R1285" s="41">
        <v>2032</v>
      </c>
      <c r="S1285" s="46">
        <f>ТабПозиции[[#This Row],[totalSumm]]-ТабПозиции[[#This Row],[payment]]</f>
        <v>0</v>
      </c>
      <c r="T1285" s="18" t="s">
        <v>960</v>
      </c>
      <c r="U1285" s="40" t="s">
        <v>545</v>
      </c>
      <c r="V1285" s="40" t="str">
        <f>IF(AND(ТабПозиции[[#This Row],[Остаток]]=0,ТабПозиции[[#This Row],[Заказан]]="Да"),"Да","Нет")</f>
        <v>Да</v>
      </c>
      <c r="W1285" s="40" t="s">
        <v>545</v>
      </c>
      <c r="X1285" s="3"/>
      <c r="Y1285"/>
    </row>
    <row r="1286" spans="1:25" hidden="1" x14ac:dyDescent="0.25">
      <c r="A1286" s="10">
        <v>338</v>
      </c>
      <c r="B1286" s="1">
        <f>IFERROR(VLOOKUP(ТабПозиции[[#This Row],[orderNum]],ТабЗаказы[#Data],MATCH(B$7,ТабЗаказы[#Headers],0),0),"")</f>
        <v>45610</v>
      </c>
      <c r="C1286" t="str">
        <f>MONTH(ТабПозиции[[#This Row],[date]])&amp;"/"&amp;YEAR(ТабПозиции[[#This Row],[date]])</f>
        <v>11/2024</v>
      </c>
      <c r="D1286" s="1" t="str">
        <f>IFERROR(VLOOKUP(ТабПозиции[[#This Row],[orderNum]],ТабЗаказы[#Data],MATCH(D$7,ТабЗаказы[#Headers],0),0),"")</f>
        <v/>
      </c>
      <c r="E1286" s="1" t="str">
        <f>IFERROR(VLOOKUP(ТабПозиции[[#This Row],[orderNum]],ТабЗаказы[#Data],MATCH(E$7,ТабЗаказы[#Headers],0),0),"")</f>
        <v/>
      </c>
      <c r="F1286" s="16" t="s">
        <v>1805</v>
      </c>
      <c r="G1286" s="40" t="s">
        <v>545</v>
      </c>
      <c r="I1286" s="18">
        <v>45615</v>
      </c>
      <c r="J1286" s="10">
        <v>2</v>
      </c>
      <c r="K1286" s="10">
        <v>416</v>
      </c>
      <c r="L1286">
        <f>ТабПозиции[[#This Row],[discountPrice]]*ТабПозиции[[#This Row],[quantity]]</f>
        <v>832</v>
      </c>
      <c r="M1286" s="10">
        <v>425</v>
      </c>
      <c r="N1286">
        <f t="shared" si="24"/>
        <v>850</v>
      </c>
      <c r="P12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Row],[orderNum]],ТабПозиции[orderSumm])&gt;1500),ABS(N1286*VLOOKUP(ТабПозиции[[#This Row],[orderNum]],ТабЗаказы[#Data],MATCH("Percent",ТабЗаказы[#Headers],0),0))/100,200/COUNTIF(ТабПозиции[orderNum],ТабПозиции[[#This Row],[orderNum]])),0),"")</f>
        <v>128</v>
      </c>
      <c r="Q1286">
        <f>IF(OR(ТабПозиции[[#This Row],[item]]="По штрихкоду",ТабПозиции[[#This Row],[item]]="Посылка"),ТабПозиции[[#This Row],[deliverySumm]]+ТабПозиции[[#This Row],[deliveryPost]],SUM(N1286:P1286))</f>
        <v>978</v>
      </c>
      <c r="R1286" s="41">
        <v>978</v>
      </c>
      <c r="S1286" s="46">
        <f>ТабПозиции[[#This Row],[totalSumm]]-ТабПозиции[[#This Row],[payment]]</f>
        <v>0</v>
      </c>
      <c r="T1286" s="18" t="s">
        <v>960</v>
      </c>
      <c r="U1286" s="40" t="s">
        <v>545</v>
      </c>
      <c r="V1286" s="40" t="str">
        <f>IF(AND(ТабПозиции[[#This Row],[Остаток]]=0,ТабПозиции[[#This Row],[Заказан]]="Да"),"Да","Нет")</f>
        <v>Да</v>
      </c>
      <c r="W1286" s="40" t="s">
        <v>545</v>
      </c>
      <c r="X1286" s="3"/>
      <c r="Y1286"/>
    </row>
    <row r="1287" spans="1:25" hidden="1" x14ac:dyDescent="0.25">
      <c r="A1287" s="10">
        <v>338</v>
      </c>
      <c r="B1287" s="1">
        <f>IFERROR(VLOOKUP(ТабПозиции[[#This Row],[orderNum]],ТабЗаказы[#Data],MATCH(B$7,ТабЗаказы[#Headers],0),0),"")</f>
        <v>45610</v>
      </c>
      <c r="C1287" t="str">
        <f>MONTH(ТабПозиции[[#This Row],[date]])&amp;"/"&amp;YEAR(ТабПозиции[[#This Row],[date]])</f>
        <v>11/2024</v>
      </c>
      <c r="D1287" s="1" t="str">
        <f>IFERROR(VLOOKUP(ТабПозиции[[#This Row],[orderNum]],ТабЗаказы[#Data],MATCH(D$7,ТабЗаказы[#Headers],0),0),"")</f>
        <v/>
      </c>
      <c r="E1287" s="1" t="str">
        <f>IFERROR(VLOOKUP(ТабПозиции[[#This Row],[orderNum]],ТабЗаказы[#Data],MATCH(E$7,ТабЗаказы[#Headers],0),0),"")</f>
        <v/>
      </c>
      <c r="F1287" s="16" t="s">
        <v>1804</v>
      </c>
      <c r="G1287" s="40" t="s">
        <v>545</v>
      </c>
      <c r="I1287" s="18">
        <v>45615</v>
      </c>
      <c r="J1287" s="10">
        <v>1</v>
      </c>
      <c r="K1287" s="10">
        <v>464</v>
      </c>
      <c r="L1287">
        <f>ТабПозиции[[#This Row],[discountPrice]]*ТабПозиции[[#This Row],[quantity]]</f>
        <v>464</v>
      </c>
      <c r="M1287" s="10">
        <v>497</v>
      </c>
      <c r="N1287">
        <f t="shared" si="24"/>
        <v>497</v>
      </c>
      <c r="P12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Row],[orderNum]],ТабПозиции[orderSumm])&gt;1500),ABS(N1287*VLOOKUP(ТабПозиции[[#This Row],[orderNum]],ТабЗаказы[#Data],MATCH("Percent",ТабЗаказы[#Headers],0),0))/100,200/COUNTIF(ТабПозиции[orderNum],ТабПозиции[[#This Row],[orderNum]])),0),"")</f>
        <v>75</v>
      </c>
      <c r="Q1287">
        <f>IF(OR(ТабПозиции[[#This Row],[item]]="По штрихкоду",ТабПозиции[[#This Row],[item]]="Посылка"),ТабПозиции[[#This Row],[deliverySumm]]+ТабПозиции[[#This Row],[deliveryPost]],SUM(N1287:P1287))</f>
        <v>572</v>
      </c>
      <c r="R1287" s="41">
        <v>572</v>
      </c>
      <c r="S1287" s="46">
        <f>ТабПозиции[[#This Row],[totalSumm]]-ТабПозиции[[#This Row],[payment]]</f>
        <v>0</v>
      </c>
      <c r="T1287" s="18" t="s">
        <v>960</v>
      </c>
      <c r="U1287" s="40" t="s">
        <v>545</v>
      </c>
      <c r="V1287" s="40" t="str">
        <f>IF(AND(ТабПозиции[[#This Row],[Остаток]]=0,ТабПозиции[[#This Row],[Заказан]]="Да"),"Да","Нет")</f>
        <v>Да</v>
      </c>
      <c r="W1287" s="40" t="s">
        <v>545</v>
      </c>
      <c r="X1287" s="3"/>
      <c r="Y1287"/>
    </row>
    <row r="1288" spans="1:25" hidden="1" x14ac:dyDescent="0.25">
      <c r="A1288" s="10">
        <v>344</v>
      </c>
      <c r="B1288" s="1">
        <f>IFERROR(VLOOKUP(ТабПозиции[[#This Row],[orderNum]],ТабЗаказы[#Data],MATCH(B$7,ТабЗаказы[#Headers],0),0),"")</f>
        <v>45612</v>
      </c>
      <c r="C1288" t="str">
        <f>MONTH(ТабПозиции[[#This Row],[date]])&amp;"/"&amp;YEAR(ТабПозиции[[#This Row],[date]])</f>
        <v>11/2024</v>
      </c>
      <c r="D1288" s="1" t="str">
        <f>IFERROR(VLOOKUP(ТабПозиции[[#This Row],[orderNum]],ТабЗаказы[#Data],MATCH(D$7,ТабЗаказы[#Headers],0),0),"")</f>
        <v/>
      </c>
      <c r="E1288" s="1" t="str">
        <f>IFERROR(VLOOKUP(ТабПозиции[[#This Row],[orderNum]],ТабЗаказы[#Data],MATCH(E$7,ТабЗаказы[#Headers],0),0),"")</f>
        <v/>
      </c>
      <c r="F1288" s="16" t="s">
        <v>1810</v>
      </c>
      <c r="G1288" s="40" t="s">
        <v>545</v>
      </c>
      <c r="I1288" s="18">
        <v>45619</v>
      </c>
      <c r="J1288" s="10">
        <v>1</v>
      </c>
      <c r="K1288" s="10">
        <v>1560</v>
      </c>
      <c r="L1288">
        <f>ТабПозиции[[#This Row],[discountPrice]]*ТабПозиции[[#This Row],[quantity]]</f>
        <v>1560</v>
      </c>
      <c r="M1288" s="10">
        <v>1638</v>
      </c>
      <c r="N1288">
        <f t="shared" si="24"/>
        <v>1638</v>
      </c>
      <c r="P12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Row],[orderNum]],ТабПозиции[orderSumm])&gt;1500),ABS(N1288*VLOOKUP(ТабПозиции[[#This Row],[orderNum]],ТабЗаказы[#Data],MATCH("Percent",ТабЗаказы[#Headers],0),0))/100,200/COUNTIF(ТабПозиции[orderNum],ТабПозиции[[#This Row],[orderNum]])),0),"")</f>
        <v>246</v>
      </c>
      <c r="Q1288">
        <f>IF(OR(ТабПозиции[[#This Row],[item]]="По штрихкоду",ТабПозиции[[#This Row],[item]]="Посылка"),ТабПозиции[[#This Row],[deliverySumm]]+ТабПозиции[[#This Row],[deliveryPost]],SUM(N1288:P1288))</f>
        <v>1884</v>
      </c>
      <c r="R1288" s="41">
        <v>1884</v>
      </c>
      <c r="S1288" s="46">
        <f>ТабПозиции[[#This Row],[totalSumm]]-ТабПозиции[[#This Row],[payment]]</f>
        <v>0</v>
      </c>
      <c r="T1288" s="18" t="s">
        <v>960</v>
      </c>
      <c r="U1288" s="40" t="s">
        <v>545</v>
      </c>
      <c r="V1288" s="40" t="str">
        <f>IF(AND(ТабПозиции[[#This Row],[Остаток]]=0,ТабПозиции[[#This Row],[Заказан]]="Да"),"Да","Нет")</f>
        <v>Да</v>
      </c>
      <c r="W1288" s="40" t="str">
        <f>IF(AND(ТабПозиции[[#This Row],[Остаток]]=0,ТабПозиции[[#This Row],[Заказан]]="Да"),"Да","Нет")</f>
        <v>Да</v>
      </c>
      <c r="X1288" s="3"/>
      <c r="Y1288"/>
    </row>
    <row r="1289" spans="1:25" hidden="1" x14ac:dyDescent="0.25">
      <c r="A1289" s="10">
        <v>345</v>
      </c>
      <c r="B1289" s="1">
        <f>IFERROR(VLOOKUP(ТабПозиции[[#This Row],[orderNum]],ТабЗаказы[#Data],MATCH(B$7,ТабЗаказы[#Headers],0),0),"")</f>
        <v>45614</v>
      </c>
      <c r="C1289" t="str">
        <f>MONTH(ТабПозиции[[#This Row],[date]])&amp;"/"&amp;YEAR(ТабПозиции[[#This Row],[date]])</f>
        <v>11/2024</v>
      </c>
      <c r="D1289" s="1" t="str">
        <f>IFERROR(VLOOKUP(ТабПозиции[[#This Row],[orderNum]],ТабЗаказы[#Data],MATCH(D$7,ТабЗаказы[#Headers],0),0),"")</f>
        <v/>
      </c>
      <c r="E1289" s="1" t="str">
        <f>IFERROR(VLOOKUP(ТабПозиции[[#This Row],[orderNum]],ТабЗаказы[#Data],MATCH(E$7,ТабЗаказы[#Headers],0),0),"")</f>
        <v/>
      </c>
      <c r="F1289" s="16" t="s">
        <v>1811</v>
      </c>
      <c r="G1289" s="40" t="s">
        <v>545</v>
      </c>
      <c r="I1289" s="18">
        <v>45616</v>
      </c>
      <c r="J1289" s="10">
        <v>1</v>
      </c>
      <c r="K1289" s="10">
        <v>438</v>
      </c>
      <c r="L1289">
        <f>ТабПозиции[[#This Row],[discountPrice]]*ТабПозиции[[#This Row],[quantity]]</f>
        <v>438</v>
      </c>
      <c r="M1289" s="10">
        <v>467</v>
      </c>
      <c r="N1289">
        <f t="shared" si="24"/>
        <v>467</v>
      </c>
      <c r="P12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Row],[orderNum]],ТабПозиции[orderSumm])&gt;1500),ABS(N1289*VLOOKUP(ТабПозиции[[#This Row],[orderNum]],ТабЗаказы[#Data],MATCH("Percent",ТабЗаказы[#Headers],0),0))/100,200/COUNTIF(ТабПозиции[orderNum],ТабПозиции[[#This Row],[orderNum]])),0),"")</f>
        <v>70</v>
      </c>
      <c r="Q1289">
        <f>IF(OR(ТабПозиции[[#This Row],[item]]="По штрихкоду",ТабПозиции[[#This Row],[item]]="Посылка"),ТабПозиции[[#This Row],[deliverySumm]]+ТабПозиции[[#This Row],[deliveryPost]],SUM(N1289:P1289))</f>
        <v>537</v>
      </c>
      <c r="R1289" s="41">
        <v>537</v>
      </c>
      <c r="S1289" s="46">
        <f>ТабПозиции[[#This Row],[totalSumm]]-ТабПозиции[[#This Row],[payment]]</f>
        <v>0</v>
      </c>
      <c r="T1289" s="18" t="s">
        <v>970</v>
      </c>
      <c r="U1289" s="40" t="s">
        <v>545</v>
      </c>
      <c r="V1289" s="40" t="str">
        <f>IF(AND(ТабПозиции[[#This Row],[Остаток]]=0,ТабПозиции[[#This Row],[Заказан]]="Да"),"Да","Нет")</f>
        <v>Да</v>
      </c>
      <c r="W1289" s="40" t="s">
        <v>545</v>
      </c>
      <c r="X1289" s="3"/>
      <c r="Y1289"/>
    </row>
    <row r="1290" spans="1:25" hidden="1" x14ac:dyDescent="0.25">
      <c r="A1290" s="10">
        <v>345</v>
      </c>
      <c r="B1290" s="1">
        <f>IFERROR(VLOOKUP(ТабПозиции[[#This Row],[orderNum]],ТабЗаказы[#Data],MATCH(B$7,ТабЗаказы[#Headers],0),0),"")</f>
        <v>45614</v>
      </c>
      <c r="C1290" t="str">
        <f>MONTH(ТабПозиции[[#This Row],[date]])&amp;"/"&amp;YEAR(ТабПозиции[[#This Row],[date]])</f>
        <v>11/2024</v>
      </c>
      <c r="D1290" s="1" t="str">
        <f>IFERROR(VLOOKUP(ТабПозиции[[#This Row],[orderNum]],ТабЗаказы[#Data],MATCH(D$7,ТабЗаказы[#Headers],0),0),"")</f>
        <v/>
      </c>
      <c r="E1290" s="1" t="str">
        <f>IFERROR(VLOOKUP(ТабПозиции[[#This Row],[orderNum]],ТабЗаказы[#Data],MATCH(E$7,ТабЗаказы[#Headers],0),0),"")</f>
        <v/>
      </c>
      <c r="F1290" s="16" t="s">
        <v>1812</v>
      </c>
      <c r="G1290" s="40" t="s">
        <v>545</v>
      </c>
      <c r="I1290" s="18">
        <v>45616</v>
      </c>
      <c r="J1290" s="10">
        <v>1</v>
      </c>
      <c r="K1290" s="10">
        <v>268</v>
      </c>
      <c r="L1290">
        <f>ТабПозиции[[#This Row],[discountPrice]]*ТабПозиции[[#This Row],[quantity]]</f>
        <v>268</v>
      </c>
      <c r="M1290" s="10">
        <v>286</v>
      </c>
      <c r="N1290">
        <f t="shared" si="24"/>
        <v>286</v>
      </c>
      <c r="P12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Row],[orderNum]],ТабПозиции[orderSumm])&gt;1500),ABS(N1290*VLOOKUP(ТабПозиции[[#This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290">
        <f>IF(OR(ТабПозиции[[#This Row],[item]]="По штрихкоду",ТабПозиции[[#This Row],[item]]="Посылка"),ТабПозиции[[#This Row],[deliverySumm]]+ТабПозиции[[#This Row],[deliveryPost]],SUM(N1290:P1290))</f>
        <v>329</v>
      </c>
      <c r="R1290" s="41">
        <v>329</v>
      </c>
      <c r="S1290" s="46">
        <f>ТабПозиции[[#This Row],[totalSumm]]-ТабПозиции[[#This Row],[payment]]</f>
        <v>0</v>
      </c>
      <c r="T1290" s="18" t="s">
        <v>970</v>
      </c>
      <c r="U1290" s="40" t="s">
        <v>545</v>
      </c>
      <c r="V1290" s="40" t="str">
        <f>IF(AND(ТабПозиции[[#This Row],[Остаток]]=0,ТабПозиции[[#This Row],[Заказан]]="Да"),"Да","Нет")</f>
        <v>Да</v>
      </c>
      <c r="W1290" s="40" t="s">
        <v>545</v>
      </c>
      <c r="X1290" s="3"/>
      <c r="Y1290"/>
    </row>
    <row r="1291" spans="1:25" hidden="1" x14ac:dyDescent="0.25">
      <c r="A1291" s="10">
        <v>345</v>
      </c>
      <c r="B1291" s="1">
        <f>IFERROR(VLOOKUP(ТабПозиции[[#This Row],[orderNum]],ТабЗаказы[#Data],MATCH(B$7,ТабЗаказы[#Headers],0),0),"")</f>
        <v>45614</v>
      </c>
      <c r="C1291" t="str">
        <f>MONTH(ТабПозиции[[#This Row],[date]])&amp;"/"&amp;YEAR(ТабПозиции[[#This Row],[date]])</f>
        <v>11/2024</v>
      </c>
      <c r="D1291" s="1" t="str">
        <f>IFERROR(VLOOKUP(ТабПозиции[[#This Row],[orderNum]],ТабЗаказы[#Data],MATCH(D$7,ТабЗаказы[#Headers],0),0),"")</f>
        <v/>
      </c>
      <c r="E1291" s="1" t="str">
        <f>IFERROR(VLOOKUP(ТабПозиции[[#This Row],[orderNum]],ТабЗаказы[#Data],MATCH(E$7,ТабЗаказы[#Headers],0),0),"")</f>
        <v/>
      </c>
      <c r="F1291" s="16" t="s">
        <v>1813</v>
      </c>
      <c r="G1291" s="40" t="s">
        <v>545</v>
      </c>
      <c r="I1291" s="18">
        <v>45616</v>
      </c>
      <c r="J1291" s="10">
        <v>1</v>
      </c>
      <c r="K1291" s="10">
        <v>260</v>
      </c>
      <c r="L1291">
        <f>ТабПозиции[[#This Row],[discountPrice]]*ТабПозиции[[#This Row],[quantity]]</f>
        <v>260</v>
      </c>
      <c r="M1291" s="10">
        <v>277</v>
      </c>
      <c r="N1291">
        <f t="shared" si="24"/>
        <v>277</v>
      </c>
      <c r="P12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Row],[orderNum]],ТабПозиции[orderSumm])&gt;1500),ABS(N1291*VLOOKUP(ТабПозиции[[#This Row],[orderNum]],ТабЗаказы[#Data],MATCH("Percent",ТабЗаказы[#Headers],0),0))/100,200/COUNTIF(ТабПозиции[orderNum],ТабПозиции[[#This Row],[orderNum]])),0),"")</f>
        <v>42</v>
      </c>
      <c r="Q1291">
        <f>IF(OR(ТабПозиции[[#This Row],[item]]="По штрихкоду",ТабПозиции[[#This Row],[item]]="Посылка"),ТабПозиции[[#This Row],[deliverySumm]]+ТабПозиции[[#This Row],[deliveryPost]],SUM(N1291:P1291))</f>
        <v>319</v>
      </c>
      <c r="R1291" s="41">
        <v>319</v>
      </c>
      <c r="S1291" s="46">
        <f>ТабПозиции[[#This Row],[totalSumm]]-ТабПозиции[[#This Row],[payment]]</f>
        <v>0</v>
      </c>
      <c r="T1291" s="18" t="s">
        <v>970</v>
      </c>
      <c r="U1291" s="40" t="s">
        <v>545</v>
      </c>
      <c r="V1291" s="40" t="str">
        <f>IF(AND(ТабПозиции[[#This Row],[Остаток]]=0,ТабПозиции[[#This Row],[Заказан]]="Да"),"Да","Нет")</f>
        <v>Да</v>
      </c>
      <c r="W1291" s="40" t="s">
        <v>545</v>
      </c>
      <c r="X1291" s="3"/>
      <c r="Y1291"/>
    </row>
    <row r="1292" spans="1:25" hidden="1" x14ac:dyDescent="0.25">
      <c r="A1292" s="10">
        <v>345</v>
      </c>
      <c r="B1292" s="1">
        <f>IFERROR(VLOOKUP(ТабПозиции[[#This Row],[orderNum]],ТабЗаказы[#Data],MATCH(B$7,ТабЗаказы[#Headers],0),0),"")</f>
        <v>45614</v>
      </c>
      <c r="C1292" t="str">
        <f>MONTH(ТабПозиции[[#This Row],[date]])&amp;"/"&amp;YEAR(ТабПозиции[[#This Row],[date]])</f>
        <v>11/2024</v>
      </c>
      <c r="D1292" s="1" t="str">
        <f>IFERROR(VLOOKUP(ТабПозиции[[#This Row],[orderNum]],ТабЗаказы[#Data],MATCH(D$7,ТабЗаказы[#Headers],0),0),"")</f>
        <v/>
      </c>
      <c r="E1292" s="1" t="str">
        <f>IFERROR(VLOOKUP(ТабПозиции[[#This Row],[orderNum]],ТабЗаказы[#Data],MATCH(E$7,ТабЗаказы[#Headers],0),0),"")</f>
        <v/>
      </c>
      <c r="F1292" s="16" t="s">
        <v>1814</v>
      </c>
      <c r="G1292" s="40" t="s">
        <v>545</v>
      </c>
      <c r="I1292" s="18">
        <v>45616</v>
      </c>
      <c r="J1292" s="10">
        <v>1</v>
      </c>
      <c r="K1292" s="10">
        <v>1022</v>
      </c>
      <c r="L1292">
        <f>ТабПозиции[[#This Row],[discountPrice]]*ТабПозиции[[#This Row],[quantity]]</f>
        <v>1022</v>
      </c>
      <c r="M1292" s="10">
        <v>1088</v>
      </c>
      <c r="N1292">
        <f t="shared" ref="N1292:N1354" si="25">M1292*J1292</f>
        <v>1088</v>
      </c>
      <c r="P12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Row],[orderNum]],ТабПозиции[orderSumm])&gt;1500),ABS(N1292*VLOOKUP(ТабПозиции[[#This Row],[orderNum]],ТабЗаказы[#Data],MATCH("Percent",ТабЗаказы[#Headers],0),0))/100,200/COUNTIF(ТабПозиции[orderNum],ТабПозиции[[#This Row],[orderNum]])),0),"")</f>
        <v>163</v>
      </c>
      <c r="Q1292">
        <f>IF(OR(ТабПозиции[[#This Row],[item]]="По штрихкоду",ТабПозиции[[#This Row],[item]]="Посылка"),ТабПозиции[[#This Row],[deliverySumm]]+ТабПозиции[[#This Row],[deliveryPost]],SUM(N1292:P1292))</f>
        <v>1251</v>
      </c>
      <c r="R1292" s="41">
        <v>1251</v>
      </c>
      <c r="S1292" s="46">
        <f>ТабПозиции[[#This Row],[totalSumm]]-ТабПозиции[[#This Row],[payment]]</f>
        <v>0</v>
      </c>
      <c r="T1292" s="18" t="s">
        <v>970</v>
      </c>
      <c r="U1292" s="40" t="s">
        <v>545</v>
      </c>
      <c r="V1292" s="40" t="str">
        <f>IF(AND(ТабПозиции[[#This Row],[Остаток]]=0,ТабПозиции[[#This Row],[Заказан]]="Да"),"Да","Нет")</f>
        <v>Да</v>
      </c>
      <c r="W1292" s="40" t="s">
        <v>545</v>
      </c>
      <c r="X1292" s="3"/>
      <c r="Y1292"/>
    </row>
    <row r="1293" spans="1:25" hidden="1" x14ac:dyDescent="0.25">
      <c r="A1293" s="10">
        <v>345</v>
      </c>
      <c r="B1293" s="1">
        <f>IFERROR(VLOOKUP(ТабПозиции[[#This Row],[orderNum]],ТабЗаказы[#Data],MATCH(B$7,ТабЗаказы[#Headers],0),0),"")</f>
        <v>45614</v>
      </c>
      <c r="C1293" t="str">
        <f>MONTH(ТабПозиции[[#This Row],[date]])&amp;"/"&amp;YEAR(ТабПозиции[[#This Row],[date]])</f>
        <v>11/2024</v>
      </c>
      <c r="D1293" s="1" t="str">
        <f>IFERROR(VLOOKUP(ТабПозиции[[#This Row],[orderNum]],ТабЗаказы[#Data],MATCH(D$7,ТабЗаказы[#Headers],0),0),"")</f>
        <v/>
      </c>
      <c r="E1293" s="1" t="str">
        <f>IFERROR(VLOOKUP(ТабПозиции[[#This Row],[orderNum]],ТабЗаказы[#Data],MATCH(E$7,ТабЗаказы[#Headers],0),0),"")</f>
        <v/>
      </c>
      <c r="F1293" s="16" t="s">
        <v>1562</v>
      </c>
      <c r="G1293" s="40" t="s">
        <v>545</v>
      </c>
      <c r="I1293" s="18">
        <v>45616</v>
      </c>
      <c r="J1293" s="10">
        <v>1</v>
      </c>
      <c r="K1293" s="10">
        <v>211</v>
      </c>
      <c r="L1293">
        <f>ТабПозиции[[#This Row],[discountPrice]]*ТабПозиции[[#This Row],[quantity]]</f>
        <v>211</v>
      </c>
      <c r="M1293" s="10">
        <v>225</v>
      </c>
      <c r="N1293">
        <f t="shared" si="25"/>
        <v>225</v>
      </c>
      <c r="P12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Row],[orderNum]],ТабПозиции[orderSumm])&gt;1500),ABS(N1293*VLOOKUP(ТабПозиции[[#This Row],[orderNum]],ТабЗаказы[#Data],MATCH("Percent",ТабЗаказы[#Headers],0),0))/100,200/COUNTIF(ТабПозиции[orderNum],ТабПозиции[[#This Row],[orderNum]])),0),"")</f>
        <v>34</v>
      </c>
      <c r="Q1293">
        <f>IF(OR(ТабПозиции[[#This Row],[item]]="По штрихкоду",ТабПозиции[[#This Row],[item]]="Посылка"),ТабПозиции[[#This Row],[deliverySumm]]+ТабПозиции[[#This Row],[deliveryPost]],SUM(N1293:P1293))</f>
        <v>259</v>
      </c>
      <c r="R1293" s="41">
        <v>259</v>
      </c>
      <c r="S1293" s="46">
        <f>ТабПозиции[[#This Row],[totalSumm]]-ТабПозиции[[#This Row],[payment]]</f>
        <v>0</v>
      </c>
      <c r="T1293" s="18" t="s">
        <v>970</v>
      </c>
      <c r="U1293" s="40" t="s">
        <v>545</v>
      </c>
      <c r="V1293" s="40" t="str">
        <f>IF(AND(ТабПозиции[[#This Row],[Остаток]]=0,ТабПозиции[[#This Row],[Заказан]]="Да"),"Да","Нет")</f>
        <v>Да</v>
      </c>
      <c r="W1293" s="40" t="s">
        <v>545</v>
      </c>
      <c r="X1293" s="3"/>
      <c r="Y1293"/>
    </row>
    <row r="1294" spans="1:25" hidden="1" x14ac:dyDescent="0.25">
      <c r="A1294" s="10">
        <v>346</v>
      </c>
      <c r="B1294" s="1">
        <f>IFERROR(VLOOKUP(ТабПозиции[[#This Row],[orderNum]],ТабЗаказы[#Data],MATCH(B$7,ТабЗаказы[#Headers],0),0),"")</f>
        <v>45614</v>
      </c>
      <c r="C1294" t="str">
        <f>MONTH(ТабПозиции[[#This Row],[date]])&amp;"/"&amp;YEAR(ТабПозиции[[#This Row],[date]])</f>
        <v>11/2024</v>
      </c>
      <c r="D1294" s="1" t="str">
        <f>IFERROR(VLOOKUP(ТабПозиции[[#This Row],[orderNum]],ТабЗаказы[#Data],MATCH(D$7,ТабЗаказы[#Headers],0),0),"")</f>
        <v/>
      </c>
      <c r="E1294" s="1" t="str">
        <f>IFERROR(VLOOKUP(ТабПозиции[[#This Row],[orderNum]],ТабЗаказы[#Data],MATCH(E$7,ТабЗаказы[#Headers],0),0),"")</f>
        <v/>
      </c>
      <c r="F1294" s="16" t="s">
        <v>1757</v>
      </c>
      <c r="G1294" s="40" t="s">
        <v>545</v>
      </c>
      <c r="I1294" s="18">
        <v>45617</v>
      </c>
      <c r="J1294" s="10">
        <v>1</v>
      </c>
      <c r="K1294" s="10">
        <v>2184</v>
      </c>
      <c r="L1294">
        <f>ТабПозиции[[#This Row],[discountPrice]]*ТабПозиции[[#This Row],[quantity]]</f>
        <v>2184</v>
      </c>
      <c r="M1294" s="10">
        <v>2324</v>
      </c>
      <c r="N1294">
        <f t="shared" si="25"/>
        <v>2324</v>
      </c>
      <c r="P12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Row],[orderNum]],ТабПозиции[orderSumm])&gt;1500),ABS(N1294*VLOOKUP(ТабПозиции[[#This Row],[orderNum]],ТабЗаказы[#Data],MATCH("Percent",ТабЗаказы[#Headers],0),0))/100,200/COUNTIF(ТабПозиции[orderNum],ТабПозиции[[#This Row],[orderNum]])),0),"")</f>
        <v>232</v>
      </c>
      <c r="Q1294">
        <f>IF(OR(ТабПозиции[[#This Row],[item]]="По штрихкоду",ТабПозиции[[#This Row],[item]]="Посылка"),ТабПозиции[[#This Row],[deliverySumm]]+ТабПозиции[[#This Row],[deliveryPost]],SUM(N1294:P1294))</f>
        <v>2556</v>
      </c>
      <c r="R1294" s="41">
        <v>2556</v>
      </c>
      <c r="S1294" s="46">
        <f>ТабПозиции[[#This Row],[totalSumm]]-ТабПозиции[[#This Row],[payment]]</f>
        <v>0</v>
      </c>
      <c r="T1294" s="18" t="s">
        <v>970</v>
      </c>
      <c r="U1294" s="40" t="s">
        <v>545</v>
      </c>
      <c r="V1294" s="40" t="str">
        <f>IF(AND(ТабПозиции[[#This Row],[Остаток]]=0,ТабПозиции[[#This Row],[Заказан]]="Да"),"Да","Нет")</f>
        <v>Да</v>
      </c>
      <c r="W1294" s="40" t="s">
        <v>545</v>
      </c>
      <c r="X1294" s="3"/>
      <c r="Y1294"/>
    </row>
    <row r="1295" spans="1:25" hidden="1" x14ac:dyDescent="0.25">
      <c r="A1295" s="10">
        <v>346</v>
      </c>
      <c r="B1295" s="1">
        <f>IFERROR(VLOOKUP(ТабПозиции[[#This Row],[orderNum]],ТабЗаказы[#Data],MATCH(B$7,ТабЗаказы[#Headers],0),0),"")</f>
        <v>45614</v>
      </c>
      <c r="C1295" t="str">
        <f>MONTH(ТабПозиции[[#This Row],[date]])&amp;"/"&amp;YEAR(ТабПозиции[[#This Row],[date]])</f>
        <v>11/2024</v>
      </c>
      <c r="D1295" s="1" t="str">
        <f>IFERROR(VLOOKUP(ТабПозиции[[#This Row],[orderNum]],ТабЗаказы[#Data],MATCH(D$7,ТабЗаказы[#Headers],0),0),"")</f>
        <v/>
      </c>
      <c r="E1295" s="1" t="str">
        <f>IFERROR(VLOOKUP(ТабПозиции[[#This Row],[orderNum]],ТабЗаказы[#Data],MATCH(E$7,ТабЗаказы[#Headers],0),0),"")</f>
        <v/>
      </c>
      <c r="F1295" s="16" t="s">
        <v>596</v>
      </c>
      <c r="G1295" s="40" t="s">
        <v>545</v>
      </c>
      <c r="I1295" s="18">
        <v>45616</v>
      </c>
      <c r="J1295" s="10">
        <v>1</v>
      </c>
      <c r="K1295" s="10">
        <v>966</v>
      </c>
      <c r="L1295">
        <f>ТабПозиции[[#This Row],[discountPrice]]*ТабПозиции[[#This Row],[quantity]]</f>
        <v>966</v>
      </c>
      <c r="M1295" s="10">
        <v>1028</v>
      </c>
      <c r="N1295">
        <f t="shared" si="25"/>
        <v>1028</v>
      </c>
      <c r="P12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Row],[orderNum]],ТабПозиции[orderSumm])&gt;1500),ABS(N1295*VLOOKUP(ТабПозиции[[#This Row],[orderNum]],ТабЗаказы[#Data],MATCH("Percent",ТабЗаказы[#Headers],0),0))/100,200/COUNTIF(ТабПозиции[orderNum],ТабПозиции[[#This Row],[orderNum]])),0),"")</f>
        <v>103</v>
      </c>
      <c r="Q1295">
        <f>IF(OR(ТабПозиции[[#This Row],[item]]="По штрихкоду",ТабПозиции[[#This Row],[item]]="Посылка"),ТабПозиции[[#This Row],[deliverySumm]]+ТабПозиции[[#This Row],[deliveryPost]],SUM(N1295:P1295))</f>
        <v>1131</v>
      </c>
      <c r="R1295" s="41">
        <v>1131</v>
      </c>
      <c r="S1295" s="46">
        <f>ТабПозиции[[#This Row],[totalSumm]]-ТабПозиции[[#This Row],[payment]]</f>
        <v>0</v>
      </c>
      <c r="T1295" s="18" t="s">
        <v>970</v>
      </c>
      <c r="U1295" s="40" t="s">
        <v>545</v>
      </c>
      <c r="V1295" s="40" t="str">
        <f>IF(AND(ТабПозиции[[#This Row],[Остаток]]=0,ТабПозиции[[#This Row],[Заказан]]="Да"),"Да","Нет")</f>
        <v>Да</v>
      </c>
      <c r="W1295" s="40" t="s">
        <v>545</v>
      </c>
      <c r="X1295" s="3"/>
      <c r="Y1295"/>
    </row>
    <row r="1296" spans="1:25" hidden="1" x14ac:dyDescent="0.25">
      <c r="A1296" s="10">
        <v>346</v>
      </c>
      <c r="B1296" s="1">
        <f>IFERROR(VLOOKUP(ТабПозиции[[#This Row],[orderNum]],ТабЗаказы[#Data],MATCH(B$7,ТабЗаказы[#Headers],0),0),"")</f>
        <v>45614</v>
      </c>
      <c r="C1296" t="str">
        <f>MONTH(ТабПозиции[[#This Row],[date]])&amp;"/"&amp;YEAR(ТабПозиции[[#This Row],[date]])</f>
        <v>11/2024</v>
      </c>
      <c r="D1296" s="1" t="str">
        <f>IFERROR(VLOOKUP(ТабПозиции[[#This Row],[orderNum]],ТабЗаказы[#Data],MATCH(D$7,ТабЗаказы[#Headers],0),0),"")</f>
        <v/>
      </c>
      <c r="E1296" s="1" t="str">
        <f>IFERROR(VLOOKUP(ТабПозиции[[#This Row],[orderNum]],ТабЗаказы[#Data],MATCH(E$7,ТабЗаказы[#Headers],0),0),"")</f>
        <v/>
      </c>
      <c r="F1296" s="16" t="s">
        <v>1815</v>
      </c>
      <c r="G1296" s="40" t="s">
        <v>545</v>
      </c>
      <c r="I1296" s="18">
        <v>45616</v>
      </c>
      <c r="J1296" s="10">
        <v>1</v>
      </c>
      <c r="K1296" s="10">
        <v>927</v>
      </c>
      <c r="L1296">
        <f>ТабПозиции[[#This Row],[discountPrice]]*ТабПозиции[[#This Row],[quantity]]</f>
        <v>927</v>
      </c>
      <c r="M1296" s="10">
        <v>987</v>
      </c>
      <c r="N1296">
        <f t="shared" si="25"/>
        <v>987</v>
      </c>
      <c r="P12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Row],[orderNum]],ТабПозиции[orderSumm])&gt;1500),ABS(N1296*VLOOKUP(ТабПозиции[[#This Row],[orderNum]],ТабЗаказы[#Data],MATCH("Percent",ТабЗаказы[#Headers],0),0))/100,200/COUNTIF(ТабПозиции[orderNum],ТабПозиции[[#This Row],[orderNum]])),0),"")</f>
        <v>99</v>
      </c>
      <c r="Q1296">
        <f>IF(OR(ТабПозиции[[#This Row],[item]]="По штрихкоду",ТабПозиции[[#This Row],[item]]="Посылка"),ТабПозиции[[#This Row],[deliverySumm]]+ТабПозиции[[#This Row],[deliveryPost]],SUM(N1296:P1296))</f>
        <v>1086</v>
      </c>
      <c r="R1296" s="41">
        <v>1086</v>
      </c>
      <c r="S1296" s="46">
        <f>ТабПозиции[[#This Row],[totalSumm]]-ТабПозиции[[#This Row],[payment]]</f>
        <v>0</v>
      </c>
      <c r="T1296" s="18" t="s">
        <v>970</v>
      </c>
      <c r="U1296" s="40" t="s">
        <v>545</v>
      </c>
      <c r="V1296" s="40" t="str">
        <f>IF(AND(ТабПозиции[[#This Row],[Остаток]]=0,ТабПозиции[[#This Row],[Заказан]]="Да"),"Да","Нет")</f>
        <v>Да</v>
      </c>
      <c r="W1296" s="40" t="s">
        <v>545</v>
      </c>
      <c r="X1296" s="3"/>
      <c r="Y1296"/>
    </row>
    <row r="1297" spans="1:25" hidden="1" x14ac:dyDescent="0.25">
      <c r="A1297" s="10">
        <v>347</v>
      </c>
      <c r="B1297" s="1">
        <f>IFERROR(VLOOKUP(ТабПозиции[[#This Row],[orderNum]],ТабЗаказы[#Data],MATCH(B$7,ТабЗаказы[#Headers],0),0),"")</f>
        <v>45614</v>
      </c>
      <c r="C1297" t="str">
        <f>MONTH(ТабПозиции[[#This Row],[date]])&amp;"/"&amp;YEAR(ТабПозиции[[#This Row],[date]])</f>
        <v>11/2024</v>
      </c>
      <c r="D1297" s="1" t="str">
        <f>IFERROR(VLOOKUP(ТабПозиции[[#This Row],[orderNum]],ТабЗаказы[#Data],MATCH(D$7,ТабЗаказы[#Headers],0),0),"")</f>
        <v/>
      </c>
      <c r="E1297" s="1" t="str">
        <f>IFERROR(VLOOKUP(ТабПозиции[[#This Row],[orderNum]],ТабЗаказы[#Data],MATCH(E$7,ТабЗаказы[#Headers],0),0),"")</f>
        <v/>
      </c>
      <c r="F1297" s="16" t="s">
        <v>1816</v>
      </c>
      <c r="G1297" s="40" t="s">
        <v>545</v>
      </c>
      <c r="I1297" s="18">
        <v>45618</v>
      </c>
      <c r="J1297" s="10">
        <v>1</v>
      </c>
      <c r="K1297" s="10">
        <v>800</v>
      </c>
      <c r="L1297">
        <f>ТабПозиции[[#This Row],[discountPrice]]*ТабПозиции[[#This Row],[quantity]]</f>
        <v>800</v>
      </c>
      <c r="M1297" s="10">
        <v>800</v>
      </c>
      <c r="N1297">
        <f t="shared" si="25"/>
        <v>800</v>
      </c>
      <c r="O1297" s="10">
        <v>94</v>
      </c>
      <c r="P12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Row],[orderNum]],ТабПозиции[orderSumm])&gt;1500),ABS(N1297*VLOOKUP(ТабПозиции[[#This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297">
        <f>IF(OR(ТабПозиции[[#This Row],[item]]="По штрихкоду",ТабПозиции[[#This Row],[item]]="Посылка"),ТабПозиции[[#This Row],[deliverySumm]]+ТабПозиции[[#This Row],[deliveryPost]],SUM(N1297:P1297))</f>
        <v>1094</v>
      </c>
      <c r="R1297" s="41">
        <v>1094</v>
      </c>
      <c r="S1297" s="46">
        <f>ТабПозиции[[#This Row],[totalSumm]]-ТабПозиции[[#This Row],[payment]]</f>
        <v>0</v>
      </c>
      <c r="T1297" s="18" t="s">
        <v>1016</v>
      </c>
      <c r="U1297" s="40" t="s">
        <v>545</v>
      </c>
      <c r="V1297" s="40" t="str">
        <f>IF(AND(ТабПозиции[[#This Row],[Остаток]]=0,ТабПозиции[[#This Row],[Заказан]]="Да"),"Да","Нет")</f>
        <v>Да</v>
      </c>
      <c r="W1297" s="40" t="str">
        <f>IF(AND(ТабПозиции[[#This Row],[Остаток]]=0,ТабПозиции[[#This Row],[Заказан]]="Да"),"Да","Нет")</f>
        <v>Да</v>
      </c>
      <c r="X1297" s="3"/>
      <c r="Y1297"/>
    </row>
    <row r="1298" spans="1:25" hidden="1" x14ac:dyDescent="0.25">
      <c r="A1298" s="10">
        <v>348</v>
      </c>
      <c r="B1298" s="1">
        <f>IFERROR(VLOOKUP(ТабПозиции[[#This Row],[orderNum]],ТабЗаказы[#Data],MATCH(B$7,ТабЗаказы[#Headers],0),0),"")</f>
        <v>45615</v>
      </c>
      <c r="C1298" t="str">
        <f>MONTH(ТабПозиции[[#This Row],[date]])&amp;"/"&amp;YEAR(ТабПозиции[[#This Row],[date]])</f>
        <v>11/2024</v>
      </c>
      <c r="D1298" s="1" t="str">
        <f>IFERROR(VLOOKUP(ТабПозиции[[#This Row],[orderNum]],ТабЗаказы[#Data],MATCH(D$7,ТабЗаказы[#Headers],0),0),"")</f>
        <v/>
      </c>
      <c r="E1298" s="1" t="str">
        <f>IFERROR(VLOOKUP(ТабПозиции[[#This Row],[orderNum]],ТабЗаказы[#Data],MATCH(E$7,ТабЗаказы[#Headers],0),0),"")</f>
        <v/>
      </c>
      <c r="F1298" s="16" t="s">
        <v>1817</v>
      </c>
      <c r="G1298" s="40" t="s">
        <v>545</v>
      </c>
      <c r="I1298" s="18">
        <v>45617</v>
      </c>
      <c r="J1298" s="10">
        <v>1</v>
      </c>
      <c r="K1298" s="10">
        <v>1522</v>
      </c>
      <c r="L1298">
        <f>ТабПозиции[[#This Row],[discountPrice]]*ТабПозиции[[#This Row],[quantity]]</f>
        <v>1522</v>
      </c>
      <c r="M1298" s="10">
        <v>1620</v>
      </c>
      <c r="N1298">
        <f t="shared" si="25"/>
        <v>1620</v>
      </c>
      <c r="P12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Row],[orderNum]],ТабПозиции[orderSumm])&gt;1500),ABS(N1298*VLOOKUP(ТабПозиции[[#This Row],[orderNum]],ТабЗаказы[#Data],MATCH("Percent",ТабЗаказы[#Headers],0),0))/100,200/COUNTIF(ТабПозиции[orderNum],ТабПозиции[[#This Row],[orderNum]])),0),"")</f>
        <v>243</v>
      </c>
      <c r="Q1298">
        <f>IF(OR(ТабПозиции[[#This Row],[item]]="По штрихкоду",ТабПозиции[[#This Row],[item]]="Посылка"),ТабПозиции[[#This Row],[deliverySumm]]+ТабПозиции[[#This Row],[deliveryPost]],SUM(N1298:P1298))</f>
        <v>1863</v>
      </c>
      <c r="R1298" s="41">
        <v>1863</v>
      </c>
      <c r="S1298" s="46">
        <f>ТабПозиции[[#This Row],[totalSumm]]-ТабПозиции[[#This Row],[payment]]</f>
        <v>0</v>
      </c>
      <c r="T1298" s="18" t="s">
        <v>970</v>
      </c>
      <c r="U1298" s="40" t="s">
        <v>545</v>
      </c>
      <c r="V1298" s="40" t="str">
        <f>IF(AND(ТабПозиции[[#This Row],[Остаток]]=0,ТабПозиции[[#This Row],[Заказан]]="Да"),"Да","Нет")</f>
        <v>Да</v>
      </c>
      <c r="W1298" s="40" t="s">
        <v>545</v>
      </c>
      <c r="X1298" s="3"/>
      <c r="Y1298"/>
    </row>
    <row r="1299" spans="1:25" hidden="1" x14ac:dyDescent="0.25">
      <c r="A1299" s="10">
        <v>348</v>
      </c>
      <c r="B1299" s="1">
        <f>IFERROR(VLOOKUP(ТабПозиции[[#This Row],[orderNum]],ТабЗаказы[#Data],MATCH(B$7,ТабЗаказы[#Headers],0),0),"")</f>
        <v>45615</v>
      </c>
      <c r="C1299" t="str">
        <f>MONTH(ТабПозиции[[#This Row],[date]])&amp;"/"&amp;YEAR(ТабПозиции[[#This Row],[date]])</f>
        <v>11/2024</v>
      </c>
      <c r="D1299" s="1" t="str">
        <f>IFERROR(VLOOKUP(ТабПозиции[[#This Row],[orderNum]],ТабЗаказы[#Data],MATCH(D$7,ТабЗаказы[#Headers],0),0),"")</f>
        <v/>
      </c>
      <c r="E1299" s="1" t="str">
        <f>IFERROR(VLOOKUP(ТабПозиции[[#This Row],[orderNum]],ТабЗаказы[#Data],MATCH(E$7,ТабЗаказы[#Headers],0),0),"")</f>
        <v/>
      </c>
      <c r="F1299" s="16" t="s">
        <v>1818</v>
      </c>
      <c r="G1299" s="40" t="s">
        <v>545</v>
      </c>
      <c r="I1299" s="18">
        <v>45618</v>
      </c>
      <c r="J1299" s="10">
        <v>1</v>
      </c>
      <c r="K1299" s="10">
        <v>443</v>
      </c>
      <c r="L1299">
        <f>ТабПозиции[[#This Row],[discountPrice]]*ТабПозиции[[#This Row],[quantity]]</f>
        <v>443</v>
      </c>
      <c r="M1299" s="10">
        <v>472</v>
      </c>
      <c r="N1299">
        <f t="shared" si="25"/>
        <v>472</v>
      </c>
      <c r="P12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Row],[orderNum]],ТабПозиции[orderSumm])&gt;1500),ABS(N1299*VLOOKUP(ТабПозиции[[#This Row],[orderNum]],ТабЗаказы[#Data],MATCH("Percent",ТабЗаказы[#Headers],0),0))/100,200/COUNTIF(ТабПозиции[orderNum],ТабПозиции[[#This Row],[orderNum]])),0),"")</f>
        <v>71</v>
      </c>
      <c r="Q1299">
        <f>IF(OR(ТабПозиции[[#This Row],[item]]="По штрихкоду",ТабПозиции[[#This Row],[item]]="Посылка"),ТабПозиции[[#This Row],[deliverySumm]]+ТабПозиции[[#This Row],[deliveryPost]],SUM(N1299:P1299))</f>
        <v>543</v>
      </c>
      <c r="R1299" s="41">
        <v>543</v>
      </c>
      <c r="S1299" s="46">
        <f>ТабПозиции[[#This Row],[totalSumm]]-ТабПозиции[[#This Row],[payment]]</f>
        <v>0</v>
      </c>
      <c r="T1299" s="18" t="s">
        <v>970</v>
      </c>
      <c r="U1299" s="40" t="s">
        <v>545</v>
      </c>
      <c r="V1299" s="40" t="str">
        <f>IF(AND(ТабПозиции[[#This Row],[Остаток]]=0,ТабПозиции[[#This Row],[Заказан]]="Да"),"Да","Нет")</f>
        <v>Да</v>
      </c>
      <c r="W1299" s="40" t="s">
        <v>545</v>
      </c>
      <c r="X1299" s="3"/>
      <c r="Y1299"/>
    </row>
    <row r="1300" spans="1:25" hidden="1" x14ac:dyDescent="0.25">
      <c r="A1300" s="10">
        <v>348</v>
      </c>
      <c r="B1300" s="1">
        <f>IFERROR(VLOOKUP(ТабПозиции[[#This Row],[orderNum]],ТабЗаказы[#Data],MATCH(B$7,ТабЗаказы[#Headers],0),0),"")</f>
        <v>45615</v>
      </c>
      <c r="C1300" t="str">
        <f>MONTH(ТабПозиции[[#This Row],[date]])&amp;"/"&amp;YEAR(ТабПозиции[[#This Row],[date]])</f>
        <v>11/2024</v>
      </c>
      <c r="D1300" s="1" t="str">
        <f>IFERROR(VLOOKUP(ТабПозиции[[#This Row],[orderNum]],ТабЗаказы[#Data],MATCH(D$7,ТабЗаказы[#Headers],0),0),"")</f>
        <v/>
      </c>
      <c r="E1300" s="1" t="str">
        <f>IFERROR(VLOOKUP(ТабПозиции[[#This Row],[orderNum]],ТабЗаказы[#Data],MATCH(E$7,ТабЗаказы[#Headers],0),0),"")</f>
        <v/>
      </c>
      <c r="F1300" s="16" t="s">
        <v>1819</v>
      </c>
      <c r="G1300" s="40" t="s">
        <v>545</v>
      </c>
      <c r="I1300" s="18">
        <v>45618</v>
      </c>
      <c r="J1300" s="10">
        <v>1</v>
      </c>
      <c r="K1300" s="10">
        <v>3519</v>
      </c>
      <c r="L1300">
        <f>ТабПозиции[[#This Row],[discountPrice]]*ТабПозиции[[#This Row],[quantity]]</f>
        <v>3519</v>
      </c>
      <c r="M1300" s="10">
        <v>3744</v>
      </c>
      <c r="N1300">
        <f t="shared" si="25"/>
        <v>3744</v>
      </c>
      <c r="P13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Row],[orderNum]],ТабПозиции[orderSumm])&gt;1500),ABS(N1300*VLOOKUP(ТабПозиции[[#This Row],[orderNum]],ТабЗаказы[#Data],MATCH("Percent",ТабЗаказы[#Headers],0),0))/100,200/COUNTIF(ТабПозиции[orderNum],ТабПозиции[[#This Row],[orderNum]])),0),"")</f>
        <v>562</v>
      </c>
      <c r="Q1300">
        <f>IF(OR(ТабПозиции[[#This Row],[item]]="По штрихкоду",ТабПозиции[[#This Row],[item]]="Посылка"),ТабПозиции[[#This Row],[deliverySumm]]+ТабПозиции[[#This Row],[deliveryPost]],SUM(N1300:P1300))</f>
        <v>4306</v>
      </c>
      <c r="R1300" s="41">
        <v>4306</v>
      </c>
      <c r="S1300" s="46">
        <f>ТабПозиции[[#This Row],[totalSumm]]-ТабПозиции[[#This Row],[payment]]</f>
        <v>0</v>
      </c>
      <c r="T1300" s="18" t="s">
        <v>970</v>
      </c>
      <c r="U1300" s="40" t="s">
        <v>545</v>
      </c>
      <c r="V1300" s="40" t="str">
        <f>IF(AND(ТабПозиции[[#This Row],[Остаток]]=0,ТабПозиции[[#This Row],[Заказан]]="Да"),"Да","Нет")</f>
        <v>Да</v>
      </c>
      <c r="W1300" s="40" t="s">
        <v>545</v>
      </c>
      <c r="X1300" s="3"/>
      <c r="Y1300"/>
    </row>
    <row r="1301" spans="1:25" hidden="1" x14ac:dyDescent="0.25">
      <c r="A1301" s="10">
        <v>349</v>
      </c>
      <c r="B1301" s="1">
        <f>IFERROR(VLOOKUP(ТабПозиции[[#This Row],[orderNum]],ТабЗаказы[#Data],MATCH(B$7,ТабЗаказы[#Headers],0),0),"")</f>
        <v>45616</v>
      </c>
      <c r="C1301" t="str">
        <f>MONTH(ТабПозиции[[#This Row],[date]])&amp;"/"&amp;YEAR(ТабПозиции[[#This Row],[date]])</f>
        <v>11/2024</v>
      </c>
      <c r="D1301" s="1" t="str">
        <f>IFERROR(VLOOKUP(ТабПозиции[[#This Row],[orderNum]],ТабЗаказы[#Data],MATCH(D$7,ТабЗаказы[#Headers],0),0),"")</f>
        <v/>
      </c>
      <c r="E1301" s="1" t="str">
        <f>IFERROR(VLOOKUP(ТабПозиции[[#This Row],[orderNum]],ТабЗаказы[#Data],MATCH(E$7,ТабЗаказы[#Headers],0),0),"")</f>
        <v/>
      </c>
      <c r="F1301" s="16" t="s">
        <v>1820</v>
      </c>
      <c r="G1301" s="40" t="s">
        <v>545</v>
      </c>
      <c r="I1301" s="18">
        <v>45619</v>
      </c>
      <c r="J1301" s="10">
        <v>1</v>
      </c>
      <c r="K1301" s="10">
        <v>131</v>
      </c>
      <c r="L1301">
        <f>ТабПозиции[[#This Row],[discountPrice]]*ТабПозиции[[#This Row],[quantity]]</f>
        <v>131</v>
      </c>
      <c r="M1301" s="10">
        <v>140</v>
      </c>
      <c r="N1301">
        <f t="shared" si="25"/>
        <v>140</v>
      </c>
      <c r="P13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Row],[orderNum]],ТабПозиции[orderSumm])&gt;1500),ABS(N1301*VLOOKUP(ТабПозиции[[#This Row],[orderNum]],ТабЗаказы[#Data],MATCH("Percent",ТабЗаказы[#Headers],0),0))/100,200/COUNTIF(ТабПозиции[orderNum],ТабПозиции[[#This Row],[orderNum]])),0),"")</f>
        <v>21</v>
      </c>
      <c r="Q1301">
        <f>IF(OR(ТабПозиции[[#This Row],[item]]="По штрихкоду",ТабПозиции[[#This Row],[item]]="Посылка"),ТабПозиции[[#This Row],[deliverySumm]]+ТабПозиции[[#This Row],[deliveryPost]],SUM(N1301:P1301))</f>
        <v>161</v>
      </c>
      <c r="R1301" s="41">
        <v>161</v>
      </c>
      <c r="S1301" s="46">
        <f>ТабПозиции[[#This Row],[totalSumm]]-ТабПозиции[[#This Row],[payment]]</f>
        <v>0</v>
      </c>
      <c r="T1301" s="18" t="s">
        <v>970</v>
      </c>
      <c r="U1301" s="40" t="s">
        <v>545</v>
      </c>
      <c r="V1301" s="40" t="str">
        <f>IF(AND(ТабПозиции[[#This Row],[Остаток]]=0,ТабПозиции[[#This Row],[Заказан]]="Да"),"Да","Нет")</f>
        <v>Да</v>
      </c>
      <c r="W1301" s="40" t="str">
        <f>IF(AND(ТабПозиции[[#This Row],[Остаток]]=0,ТабПозиции[[#This Row],[Заказан]]="Да"),"Да","Нет")</f>
        <v>Да</v>
      </c>
      <c r="X1301" s="3"/>
      <c r="Y1301"/>
    </row>
    <row r="1302" spans="1:25" hidden="1" x14ac:dyDescent="0.25">
      <c r="A1302" s="10">
        <v>349</v>
      </c>
      <c r="B1302" s="1">
        <f>IFERROR(VLOOKUP(ТабПозиции[[#This Row],[orderNum]],ТабЗаказы[#Data],MATCH(B$7,ТабЗаказы[#Headers],0),0),"")</f>
        <v>45616</v>
      </c>
      <c r="C1302" t="str">
        <f>MONTH(ТабПозиции[[#This Row],[date]])&amp;"/"&amp;YEAR(ТабПозиции[[#This Row],[date]])</f>
        <v>11/2024</v>
      </c>
      <c r="D1302" s="1" t="str">
        <f>IFERROR(VLOOKUP(ТабПозиции[[#This Row],[orderNum]],ТабЗаказы[#Data],MATCH(D$7,ТабЗаказы[#Headers],0),0),"")</f>
        <v/>
      </c>
      <c r="E1302" s="1" t="str">
        <f>IFERROR(VLOOKUP(ТабПозиции[[#This Row],[orderNum]],ТабЗаказы[#Data],MATCH(E$7,ТабЗаказы[#Headers],0),0),"")</f>
        <v/>
      </c>
      <c r="F1302" s="16" t="s">
        <v>1821</v>
      </c>
      <c r="G1302" s="40" t="s">
        <v>545</v>
      </c>
      <c r="I1302" s="18">
        <v>45619</v>
      </c>
      <c r="J1302" s="10">
        <v>1</v>
      </c>
      <c r="K1302" s="10">
        <v>188</v>
      </c>
      <c r="L1302">
        <f>ТабПозиции[[#This Row],[discountPrice]]*ТабПозиции[[#This Row],[quantity]]</f>
        <v>188</v>
      </c>
      <c r="M1302" s="10">
        <v>200</v>
      </c>
      <c r="N1302">
        <f t="shared" si="25"/>
        <v>200</v>
      </c>
      <c r="P13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Row],[orderNum]],ТабПозиции[orderSumm])&gt;1500),ABS(N1302*VLOOKUP(ТабПозиции[[#This Row],[orderNum]],ТабЗаказы[#Data],MATCH("Percent",ТабЗаказы[#Headers],0),0))/100,200/COUNTIF(ТабПозиции[orderNum],ТабПозиции[[#This Row],[orderNum]])),0),"")</f>
        <v>30</v>
      </c>
      <c r="Q1302">
        <f>IF(OR(ТабПозиции[[#This Row],[item]]="По штрихкоду",ТабПозиции[[#This Row],[item]]="Посылка"),ТабПозиции[[#This Row],[deliverySumm]]+ТабПозиции[[#This Row],[deliveryPost]],SUM(N1302:P1302))</f>
        <v>230</v>
      </c>
      <c r="R1302" s="41">
        <v>230</v>
      </c>
      <c r="S1302" s="46">
        <f>ТабПозиции[[#This Row],[totalSumm]]-ТабПозиции[[#This Row],[payment]]</f>
        <v>0</v>
      </c>
      <c r="T1302" s="18" t="s">
        <v>970</v>
      </c>
      <c r="U1302" s="40" t="s">
        <v>545</v>
      </c>
      <c r="V1302" s="40" t="str">
        <f>IF(AND(ТабПозиции[[#This Row],[Остаток]]=0,ТабПозиции[[#This Row],[Заказан]]="Да"),"Да","Нет")</f>
        <v>Да</v>
      </c>
      <c r="W1302" s="40" t="str">
        <f>IF(AND(ТабПозиции[[#This Row],[Остаток]]=0,ТабПозиции[[#This Row],[Заказан]]="Да"),"Да","Нет")</f>
        <v>Да</v>
      </c>
      <c r="X1302" s="3"/>
      <c r="Y1302"/>
    </row>
    <row r="1303" spans="1:25" hidden="1" x14ac:dyDescent="0.25">
      <c r="A1303" s="10">
        <v>349</v>
      </c>
      <c r="B1303" s="1">
        <f>IFERROR(VLOOKUP(ТабПозиции[[#This Row],[orderNum]],ТабЗаказы[#Data],MATCH(B$7,ТабЗаказы[#Headers],0),0),"")</f>
        <v>45616</v>
      </c>
      <c r="C1303" t="str">
        <f>MONTH(ТабПозиции[[#This Row],[date]])&amp;"/"&amp;YEAR(ТабПозиции[[#This Row],[date]])</f>
        <v>11/2024</v>
      </c>
      <c r="D1303" s="1" t="str">
        <f>IFERROR(VLOOKUP(ТабПозиции[[#This Row],[orderNum]],ТабЗаказы[#Data],MATCH(D$7,ТабЗаказы[#Headers],0),0),"")</f>
        <v/>
      </c>
      <c r="E1303" s="1" t="str">
        <f>IFERROR(VLOOKUP(ТабПозиции[[#This Row],[orderNum]],ТабЗаказы[#Data],MATCH(E$7,ТабЗаказы[#Headers],0),0),"")</f>
        <v/>
      </c>
      <c r="F1303" s="16" t="s">
        <v>1822</v>
      </c>
      <c r="G1303" s="40" t="s">
        <v>545</v>
      </c>
      <c r="I1303" s="18">
        <v>45620</v>
      </c>
      <c r="J1303" s="10">
        <v>1</v>
      </c>
      <c r="K1303" s="10">
        <v>559</v>
      </c>
      <c r="L1303">
        <f>ТабПозиции[[#This Row],[discountPrice]]*ТабПозиции[[#This Row],[quantity]]</f>
        <v>559</v>
      </c>
      <c r="M1303" s="10">
        <v>595</v>
      </c>
      <c r="N1303">
        <f t="shared" si="25"/>
        <v>595</v>
      </c>
      <c r="P13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Row],[orderNum]],ТабПозиции[orderSumm])&gt;1500),ABS(N1303*VLOOKUP(ТабПозиции[[#This Row],[orderNum]],ТабЗаказы[#Data],MATCH("Percent",ТабЗаказы[#Headers],0),0))/100,200/COUNTIF(ТабПозиции[orderNum],ТабПозиции[[#This Row],[orderNum]])),0),"")</f>
        <v>89</v>
      </c>
      <c r="Q1303">
        <f>IF(OR(ТабПозиции[[#This Row],[item]]="По штрихкоду",ТабПозиции[[#This Row],[item]]="Посылка"),ТабПозиции[[#This Row],[deliverySumm]]+ТабПозиции[[#This Row],[deliveryPost]],SUM(N1303:P1303))</f>
        <v>684</v>
      </c>
      <c r="R1303" s="41">
        <v>684</v>
      </c>
      <c r="S1303" s="46">
        <f>ТабПозиции[[#This Row],[totalSumm]]-ТабПозиции[[#This Row],[payment]]</f>
        <v>0</v>
      </c>
      <c r="T1303" s="18" t="s">
        <v>970</v>
      </c>
      <c r="U1303" s="40" t="s">
        <v>545</v>
      </c>
      <c r="V1303" s="40" t="str">
        <f>IF(AND(ТабПозиции[[#This Row],[Остаток]]=0,ТабПозиции[[#This Row],[Заказан]]="Да"),"Да","Нет")</f>
        <v>Да</v>
      </c>
      <c r="W1303" s="40" t="str">
        <f>IF(AND(ТабПозиции[[#This Row],[Остаток]]=0,ТабПозиции[[#This Row],[Заказан]]="Да"),"Да","Нет")</f>
        <v>Да</v>
      </c>
      <c r="X1303" s="3"/>
      <c r="Y1303"/>
    </row>
    <row r="1304" spans="1:25" hidden="1" x14ac:dyDescent="0.25">
      <c r="A1304" s="10">
        <v>349</v>
      </c>
      <c r="B1304" s="1">
        <f>IFERROR(VLOOKUP(ТабПозиции[[#This Row],[orderNum]],ТабЗаказы[#Data],MATCH(B$7,ТабЗаказы[#Headers],0),0),"")</f>
        <v>45616</v>
      </c>
      <c r="C1304" t="str">
        <f>MONTH(ТабПозиции[[#This Row],[date]])&amp;"/"&amp;YEAR(ТабПозиции[[#This Row],[date]])</f>
        <v>11/2024</v>
      </c>
      <c r="D1304" s="1" t="str">
        <f>IFERROR(VLOOKUP(ТабПозиции[[#This Row],[orderNum]],ТабЗаказы[#Data],MATCH(D$7,ТабЗаказы[#Headers],0),0),"")</f>
        <v/>
      </c>
      <c r="E1304" s="1" t="str">
        <f>IFERROR(VLOOKUP(ТабПозиции[[#This Row],[orderNum]],ТабЗаказы[#Data],MATCH(E$7,ТабЗаказы[#Headers],0),0),"")</f>
        <v/>
      </c>
      <c r="F1304" s="16" t="s">
        <v>1823</v>
      </c>
      <c r="G1304" s="40" t="s">
        <v>545</v>
      </c>
      <c r="I1304" s="18">
        <v>45620</v>
      </c>
      <c r="J1304" s="10">
        <v>0</v>
      </c>
      <c r="K1304" s="10">
        <v>263</v>
      </c>
      <c r="L1304">
        <f>ТабПозиции[[#This Row],[discountPrice]]*ТабПозиции[[#This Row],[quantity]]</f>
        <v>0</v>
      </c>
      <c r="M1304" s="10">
        <v>280</v>
      </c>
      <c r="N1304">
        <f t="shared" si="25"/>
        <v>0</v>
      </c>
      <c r="P13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Row],[orderNum]],ТабПозиции[orderSumm])&gt;1500),ABS(N1304*VLOOKUP(ТабПозиции[[#This Row],[orderNum]],ТабЗаказы[#Data],MATCH("Percent",ТабЗаказы[#Headers],0),0))/100,200/COUNTIF(ТабПозиции[orderNum],ТабПозиции[[#This Row],[orderNum]])),0),"")</f>
        <v>0</v>
      </c>
      <c r="Q1304">
        <f>IF(OR(ТабПозиции[[#This Row],[item]]="По штрихкоду",ТабПозиции[[#This Row],[item]]="Посылка"),ТабПозиции[[#This Row],[deliverySumm]]+ТабПозиции[[#This Row],[deliveryPost]],SUM(N1304:P1304))</f>
        <v>0</v>
      </c>
      <c r="S1304" s="46">
        <f>ТабПозиции[[#This Row],[totalSumm]]-ТабПозиции[[#This Row],[payment]]</f>
        <v>0</v>
      </c>
      <c r="T1304" s="18" t="s">
        <v>970</v>
      </c>
      <c r="U1304" s="40" t="s">
        <v>545</v>
      </c>
      <c r="V1304" s="40" t="str">
        <f>IF(AND(ТабПозиции[[#This Row],[Остаток]]=0,ТабПозиции[[#This Row],[Заказан]]="Да"),"Да","Нет")</f>
        <v>Да</v>
      </c>
      <c r="W1304" s="40" t="s">
        <v>545</v>
      </c>
      <c r="X1304" s="3"/>
      <c r="Y1304"/>
    </row>
    <row r="1305" spans="1:25" hidden="1" x14ac:dyDescent="0.25">
      <c r="A1305" s="10">
        <v>349</v>
      </c>
      <c r="B1305" s="1">
        <f>IFERROR(VLOOKUP(ТабПозиции[[#This Row],[orderNum]],ТабЗаказы[#Data],MATCH(B$7,ТабЗаказы[#Headers],0),0),"")</f>
        <v>45616</v>
      </c>
      <c r="C1305" t="str">
        <f>MONTH(ТабПозиции[[#This Row],[date]])&amp;"/"&amp;YEAR(ТабПозиции[[#This Row],[date]])</f>
        <v>11/2024</v>
      </c>
      <c r="D1305" s="1" t="str">
        <f>IFERROR(VLOOKUP(ТабПозиции[[#This Row],[orderNum]],ТабЗаказы[#Data],MATCH(D$7,ТабЗаказы[#Headers],0),0),"")</f>
        <v/>
      </c>
      <c r="E1305" s="1" t="str">
        <f>IFERROR(VLOOKUP(ТабПозиции[[#This Row],[orderNum]],ТабЗаказы[#Data],MATCH(E$7,ТабЗаказы[#Headers],0),0),"")</f>
        <v/>
      </c>
      <c r="F1305" s="16" t="s">
        <v>1824</v>
      </c>
      <c r="G1305" s="40" t="s">
        <v>545</v>
      </c>
      <c r="I1305" s="18">
        <v>45620</v>
      </c>
      <c r="J1305" s="10">
        <v>1</v>
      </c>
      <c r="K1305" s="10">
        <v>344</v>
      </c>
      <c r="L1305">
        <f>ТабПозиции[[#This Row],[discountPrice]]*ТабПозиции[[#This Row],[quantity]]</f>
        <v>344</v>
      </c>
      <c r="M1305" s="10">
        <v>367</v>
      </c>
      <c r="N1305">
        <f t="shared" si="25"/>
        <v>367</v>
      </c>
      <c r="P13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Row],[orderNum]],ТабПозиции[orderSumm])&gt;1500),ABS(N1305*VLOOKUP(ТабПозиции[[#This Row],[orderNum]],ТабЗаказы[#Data],MATCH("Percent",ТабЗаказы[#Headers],0),0))/100,200/COUNTIF(ТабПозиции[orderNum],ТабПозиции[[#This Row],[orderNum]])),0),"")</f>
        <v>55</v>
      </c>
      <c r="Q1305">
        <f>IF(OR(ТабПозиции[[#This Row],[item]]="По штрихкоду",ТабПозиции[[#This Row],[item]]="Посылка"),ТабПозиции[[#This Row],[deliverySumm]]+ТабПозиции[[#This Row],[deliveryPost]],SUM(N1305:P1305))</f>
        <v>422</v>
      </c>
      <c r="R1305" s="41">
        <v>422</v>
      </c>
      <c r="S1305" s="46">
        <f>ТабПозиции[[#This Row],[totalSumm]]-ТабПозиции[[#This Row],[payment]]</f>
        <v>0</v>
      </c>
      <c r="T1305" s="18" t="s">
        <v>970</v>
      </c>
      <c r="U1305" s="40" t="s">
        <v>545</v>
      </c>
      <c r="V1305" s="40" t="str">
        <f>IF(AND(ТабПозиции[[#This Row],[Остаток]]=0,ТабПозиции[[#This Row],[Заказан]]="Да"),"Да","Нет")</f>
        <v>Да</v>
      </c>
      <c r="W1305" s="40" t="str">
        <f>IF(AND(ТабПозиции[[#This Row],[Остаток]]=0,ТабПозиции[[#This Row],[Заказан]]="Да"),"Да","Нет")</f>
        <v>Да</v>
      </c>
      <c r="X1305" s="3"/>
      <c r="Y1305"/>
    </row>
    <row r="1306" spans="1:25" hidden="1" x14ac:dyDescent="0.25">
      <c r="A1306" s="10">
        <v>349</v>
      </c>
      <c r="B1306" s="1">
        <f>IFERROR(VLOOKUP(ТабПозиции[[#This Row],[orderNum]],ТабЗаказы[#Data],MATCH(B$7,ТабЗаказы[#Headers],0),0),"")</f>
        <v>45616</v>
      </c>
      <c r="C1306" t="str">
        <f>MONTH(ТабПозиции[[#This Row],[date]])&amp;"/"&amp;YEAR(ТабПозиции[[#This Row],[date]])</f>
        <v>11/2024</v>
      </c>
      <c r="D1306" s="1" t="str">
        <f>IFERROR(VLOOKUP(ТабПозиции[[#This Row],[orderNum]],ТабЗаказы[#Data],MATCH(D$7,ТабЗаказы[#Headers],0),0),"")</f>
        <v/>
      </c>
      <c r="E1306" s="1" t="str">
        <f>IFERROR(VLOOKUP(ТабПозиции[[#This Row],[orderNum]],ТабЗаказы[#Data],MATCH(E$7,ТабЗаказы[#Headers],0),0),"")</f>
        <v/>
      </c>
      <c r="F1306" s="16" t="s">
        <v>1040</v>
      </c>
      <c r="G1306" s="40" t="s">
        <v>545</v>
      </c>
      <c r="I1306" s="18">
        <v>45619</v>
      </c>
      <c r="J1306" s="10">
        <v>1</v>
      </c>
      <c r="K1306" s="10">
        <v>932</v>
      </c>
      <c r="L1306">
        <f>ТабПозиции[[#This Row],[discountPrice]]*ТабПозиции[[#This Row],[quantity]]</f>
        <v>932</v>
      </c>
      <c r="M1306" s="10">
        <v>992</v>
      </c>
      <c r="N1306">
        <f t="shared" si="25"/>
        <v>992</v>
      </c>
      <c r="P13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Row],[orderNum]],ТабПозиции[orderSumm])&gt;1500),ABS(N1306*VLOOKUP(ТабПозиции[[#This Row],[orderNum]],ТабЗаказы[#Data],MATCH("Percent",ТабЗаказы[#Headers],0),0))/100,200/COUNTIF(ТабПозиции[orderNum],ТабПозиции[[#This Row],[orderNum]])),0),"")</f>
        <v>149</v>
      </c>
      <c r="Q1306">
        <f>IF(OR(ТабПозиции[[#This Row],[item]]="По штрихкоду",ТабПозиции[[#This Row],[item]]="Посылка"),ТабПозиции[[#This Row],[deliverySumm]]+ТабПозиции[[#This Row],[deliveryPost]],SUM(N1306:P1306))</f>
        <v>1141</v>
      </c>
      <c r="R1306" s="41">
        <v>1141</v>
      </c>
      <c r="S1306" s="46">
        <f>ТабПозиции[[#This Row],[totalSumm]]-ТабПозиции[[#This Row],[payment]]</f>
        <v>0</v>
      </c>
      <c r="T1306" s="18" t="s">
        <v>970</v>
      </c>
      <c r="U1306" s="40" t="s">
        <v>545</v>
      </c>
      <c r="V1306" s="40" t="str">
        <f>IF(AND(ТабПозиции[[#This Row],[Остаток]]=0,ТабПозиции[[#This Row],[Заказан]]="Да"),"Да","Нет")</f>
        <v>Да</v>
      </c>
      <c r="W1306" s="40" t="str">
        <f>IF(AND(ТабПозиции[[#This Row],[Остаток]]=0,ТабПозиции[[#This Row],[Заказан]]="Да"),"Да","Нет")</f>
        <v>Да</v>
      </c>
      <c r="X1306" s="3"/>
      <c r="Y1306"/>
    </row>
    <row r="1307" spans="1:25" hidden="1" x14ac:dyDescent="0.25">
      <c r="A1307" s="10">
        <v>350</v>
      </c>
      <c r="B1307" s="1">
        <f>IFERROR(VLOOKUP(ТабПозиции[[#This Row],[orderNum]],ТабЗаказы[#Data],MATCH(B$7,ТабЗаказы[#Headers],0),0),"")</f>
        <v>45617</v>
      </c>
      <c r="C1307" t="str">
        <f>MONTH(ТабПозиции[[#This Row],[date]])&amp;"/"&amp;YEAR(ТабПозиции[[#This Row],[date]])</f>
        <v>11/2024</v>
      </c>
      <c r="D1307" s="1" t="str">
        <f>IFERROR(VLOOKUP(ТабПозиции[[#This Row],[orderNum]],ТабЗаказы[#Data],MATCH(D$7,ТабЗаказы[#Headers],0),0),"")</f>
        <v/>
      </c>
      <c r="E1307" s="1" t="str">
        <f>IFERROR(VLOOKUP(ТабПозиции[[#This Row],[orderNum]],ТабЗаказы[#Data],MATCH(E$7,ТабЗаказы[#Headers],0),0),"")</f>
        <v/>
      </c>
      <c r="F1307" s="16" t="s">
        <v>1827</v>
      </c>
      <c r="G1307" s="40" t="s">
        <v>545</v>
      </c>
      <c r="I1307" s="18">
        <v>45625</v>
      </c>
      <c r="J1307" s="10">
        <v>1</v>
      </c>
      <c r="K1307" s="10">
        <v>4000</v>
      </c>
      <c r="L1307">
        <f>ТабПозиции[[#This Row],[discountPrice]]*ТабПозиции[[#This Row],[quantity]]</f>
        <v>4000</v>
      </c>
      <c r="M1307" s="10">
        <v>4000</v>
      </c>
      <c r="N1307">
        <f t="shared" si="25"/>
        <v>4000</v>
      </c>
      <c r="O1307" s="10">
        <v>234</v>
      </c>
      <c r="P13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Row],[orderNum]],ТабПозиции[orderSumm])&gt;1500),ABS(N1307*VLOOKUP(ТабПозиции[[#This Row],[orderNum]],ТабЗаказы[#Data],MATCH("Percent",ТабЗаказы[#Headers],0),0))/100,200/COUNTIF(ТабПозиции[orderNum],ТабПозиции[[#This Row],[orderNum]])),0),"")</f>
        <v>600</v>
      </c>
      <c r="Q1307">
        <f>IF(OR(ТабПозиции[[#This Row],[item]]="По штрихкоду",ТабПозиции[[#This Row],[item]]="Посылка"),ТабПозиции[[#This Row],[deliverySumm]]+ТабПозиции[[#This Row],[deliveryPost]],SUM(N1307:P1307))</f>
        <v>4834</v>
      </c>
      <c r="R1307" s="41">
        <v>4834</v>
      </c>
      <c r="S1307" s="46">
        <f>ТабПозиции[[#This Row],[totalSumm]]-ТабПозиции[[#This Row],[payment]]</f>
        <v>0</v>
      </c>
      <c r="T1307" s="18" t="s">
        <v>1016</v>
      </c>
      <c r="U1307" s="40" t="s">
        <v>545</v>
      </c>
      <c r="V1307" s="40" t="str">
        <f>IF(AND(ТабПозиции[[#This Row],[Остаток]]=0,ТабПозиции[[#This Row],[Заказан]]="Да"),"Да","Нет")</f>
        <v>Да</v>
      </c>
      <c r="W1307" s="40" t="str">
        <f>IF(AND(ТабПозиции[[#This Row],[Остаток]]=0,ТабПозиции[[#This Row],[Заказан]]="Да"),"Да","Нет")</f>
        <v>Да</v>
      </c>
      <c r="X1307" s="3"/>
      <c r="Y1307"/>
    </row>
    <row r="1308" spans="1:25" hidden="1" x14ac:dyDescent="0.25">
      <c r="A1308" s="10">
        <v>320</v>
      </c>
      <c r="B1308" s="1">
        <f>IFERROR(VLOOKUP(ТабПозиции[[#This Row],[orderNum]],ТабЗаказы[#Data],MATCH(B$7,ТабЗаказы[#Headers],0),0),"")</f>
        <v>45597</v>
      </c>
      <c r="C1308" t="str">
        <f>MONTH(ТабПозиции[[#This Row],[date]])&amp;"/"&amp;YEAR(ТабПозиции[[#This Row],[date]])</f>
        <v>11/2024</v>
      </c>
      <c r="D1308" s="1" t="str">
        <f>IFERROR(VLOOKUP(ТабПозиции[[#This Row],[orderNum]],ТабЗаказы[#Data],MATCH(D$7,ТабЗаказы[#Headers],0),0),"")</f>
        <v/>
      </c>
      <c r="E1308" s="1" t="str">
        <f>IFERROR(VLOOKUP(ТабПозиции[[#This Row],[orderNum]],ТабЗаказы[#Data],MATCH(E$7,ТабЗаказы[#Headers],0),0),"")</f>
        <v/>
      </c>
      <c r="F1308" s="10" t="s">
        <v>820</v>
      </c>
      <c r="G1308" s="40" t="s">
        <v>545</v>
      </c>
      <c r="H1308" s="55" t="s">
        <v>1828</v>
      </c>
      <c r="I1308" s="18">
        <v>45617</v>
      </c>
      <c r="J1308" s="10">
        <v>1</v>
      </c>
      <c r="K1308" s="10">
        <v>9500</v>
      </c>
      <c r="L1308">
        <f>ТабПозиции[[#This Row],[discountPrice]]*ТабПозиции[[#This Row],[quantity]]</f>
        <v>9500</v>
      </c>
      <c r="M1308" s="10">
        <v>9500</v>
      </c>
      <c r="N1308">
        <f t="shared" si="25"/>
        <v>9500</v>
      </c>
      <c r="P13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Row],[orderNum]],ТабПозиции[orderSumm])&gt;1500),ABS(N1308*VLOOKUP(ТабПозиции[[#This Row],[orderNum]],ТабЗаказы[#Data],MATCH("Percent",ТабЗаказы[#Headers],0),0))/100,200/COUNTIF(ТабПозиции[orderNum],ТабПозиции[[#This Row],[orderNum]])),0),"")</f>
        <v>950</v>
      </c>
      <c r="Q1308">
        <f>IF(OR(ТабПозиции[[#This Row],[item]]="По штрихкоду",ТабПозиции[[#This Row],[item]]="Посылка"),ТабПозиции[[#This Row],[deliverySumm]]+ТабПозиции[[#This Row],[deliveryPost]],SUM(N1308:P1308))</f>
        <v>950</v>
      </c>
      <c r="R1308" s="41">
        <v>950</v>
      </c>
      <c r="S1308" s="46">
        <f>ТабПозиции[[#This Row],[totalSumm]]-ТабПозиции[[#This Row],[payment]]</f>
        <v>0</v>
      </c>
      <c r="T1308" s="18" t="s">
        <v>1021</v>
      </c>
      <c r="U1308" s="40" t="s">
        <v>545</v>
      </c>
      <c r="V1308" s="40" t="str">
        <f>IF(AND(ТабПозиции[[#This Row],[Остаток]]=0,ТабПозиции[[#This Row],[Заказан]]="Да"),"Да","Нет")</f>
        <v>Да</v>
      </c>
      <c r="W1308" s="40" t="s">
        <v>545</v>
      </c>
      <c r="X1308" s="3"/>
      <c r="Y1308"/>
    </row>
    <row r="1309" spans="1:25" hidden="1" x14ac:dyDescent="0.25">
      <c r="A1309" s="10">
        <v>351</v>
      </c>
      <c r="B1309" s="1">
        <f>IFERROR(VLOOKUP(ТабПозиции[[#This Row],[orderNum]],ТабЗаказы[#Data],MATCH(B$7,ТабЗаказы[#Headers],0),0),"")</f>
        <v>45618</v>
      </c>
      <c r="C1309" t="str">
        <f>MONTH(ТабПозиции[[#This Row],[date]])&amp;"/"&amp;YEAR(ТабПозиции[[#This Row],[date]])</f>
        <v>11/2024</v>
      </c>
      <c r="D1309" s="1" t="str">
        <f>IFERROR(VLOOKUP(ТабПозиции[[#This Row],[orderNum]],ТабЗаказы[#Data],MATCH(D$7,ТабЗаказы[#Headers],0),0),"")</f>
        <v/>
      </c>
      <c r="E1309" s="1" t="str">
        <f>IFERROR(VLOOKUP(ТабПозиции[[#This Row],[orderNum]],ТабЗаказы[#Data],MATCH(E$7,ТабЗаказы[#Headers],0),0),"")</f>
        <v/>
      </c>
      <c r="F1309" s="10" t="s">
        <v>820</v>
      </c>
      <c r="G1309" s="40" t="s">
        <v>545</v>
      </c>
      <c r="H1309" s="27" t="s">
        <v>1829</v>
      </c>
      <c r="I1309" s="18">
        <v>45618</v>
      </c>
      <c r="J1309" s="10">
        <v>1</v>
      </c>
      <c r="K1309" s="10">
        <v>4000</v>
      </c>
      <c r="L1309">
        <f>ТабПозиции[[#This Row],[discountPrice]]*ТабПозиции[[#This Row],[quantity]]</f>
        <v>4000</v>
      </c>
      <c r="M1309" s="10">
        <v>4000</v>
      </c>
      <c r="N1309">
        <f t="shared" si="25"/>
        <v>4000</v>
      </c>
      <c r="P13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Row],[orderNum]],ТабПозиции[orderSumm])&gt;1500),ABS(N1309*VLOOKUP(ТабПозиции[[#This Row],[orderNum]],ТабЗаказы[#Data],MATCH("Percent",ТабЗаказы[#Headers],0),0))/100,200/COUNTIF(ТабПозиции[orderNum],ТабПозиции[[#This Row],[orderNum]])),0),"")</f>
        <v>600</v>
      </c>
      <c r="Q1309">
        <f>IF(OR(ТабПозиции[[#This Row],[item]]="По штрихкоду",ТабПозиции[[#This Row],[item]]="Посылка"),ТабПозиции[[#This Row],[deliverySumm]]+ТабПозиции[[#This Row],[deliveryPost]],SUM(N1309:P1309))</f>
        <v>600</v>
      </c>
      <c r="R1309" s="41">
        <v>600</v>
      </c>
      <c r="S1309" s="46">
        <f>ТабПозиции[[#This Row],[totalSumm]]-ТабПозиции[[#This Row],[payment]]</f>
        <v>0</v>
      </c>
      <c r="T1309" s="18" t="s">
        <v>1021</v>
      </c>
      <c r="U1309" s="40" t="s">
        <v>545</v>
      </c>
      <c r="V1309" s="40" t="str">
        <f>IF(AND(ТабПозиции[[#This Row],[Остаток]]=0,ТабПозиции[[#This Row],[Заказан]]="Да"),"Да","Нет")</f>
        <v>Да</v>
      </c>
      <c r="W1309" s="40" t="str">
        <f>IF(AND(ТабПозиции[[#This Row],[Остаток]]=0,ТабПозиции[[#This Row],[Заказан]]="Да"),"Да","Нет")</f>
        <v>Да</v>
      </c>
      <c r="X1309" s="3"/>
      <c r="Y1309"/>
    </row>
    <row r="1310" spans="1:25" hidden="1" x14ac:dyDescent="0.25">
      <c r="A1310" s="10">
        <v>338</v>
      </c>
      <c r="B1310" s="1">
        <f>IFERROR(VLOOKUP(ТабПозиции[[#This Row],[orderNum]],ТабЗаказы[#Data],MATCH(B$7,ТабЗаказы[#Headers],0),0),"")</f>
        <v>45610</v>
      </c>
      <c r="C1310" t="str">
        <f>MONTH(ТабПозиции[[#This Row],[date]])&amp;"/"&amp;YEAR(ТабПозиции[[#This Row],[date]])</f>
        <v>11/2024</v>
      </c>
      <c r="D1310" s="1" t="str">
        <f>IFERROR(VLOOKUP(ТабПозиции[[#This Row],[orderNum]],ТабЗаказы[#Data],MATCH(D$7,ТабЗаказы[#Headers],0),0),"")</f>
        <v/>
      </c>
      <c r="E1310" s="1" t="str">
        <f>IFERROR(VLOOKUP(ТабПозиции[[#This Row],[orderNum]],ТабЗаказы[#Data],MATCH(E$7,ТабЗаказы[#Headers],0),0),"")</f>
        <v/>
      </c>
      <c r="F1310" s="16" t="s">
        <v>1830</v>
      </c>
      <c r="G1310" s="40" t="s">
        <v>545</v>
      </c>
      <c r="I1310" s="18">
        <v>45627</v>
      </c>
      <c r="J1310" s="10">
        <v>1</v>
      </c>
      <c r="K1310" s="10">
        <v>414</v>
      </c>
      <c r="L1310">
        <f>ТабПозиции[[#This Row],[discountPrice]]*ТабПозиции[[#This Row],[quantity]]</f>
        <v>414</v>
      </c>
      <c r="M1310" s="10">
        <v>443</v>
      </c>
      <c r="N1310">
        <f t="shared" si="25"/>
        <v>443</v>
      </c>
      <c r="P13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Row],[orderNum]],ТабПозиции[orderSumm])&gt;1500),ABS(N1310*VLOOKUP(ТабПозиции[[#This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310">
        <f>IF(OR(ТабПозиции[[#This Row],[item]]="По штрихкоду",ТабПозиции[[#This Row],[item]]="Посылка"),ТабПозиции[[#This Row],[deliverySumm]]+ТабПозиции[[#This Row],[deliveryPost]],SUM(N1310:P1310))</f>
        <v>509</v>
      </c>
      <c r="R1310" s="41">
        <v>509</v>
      </c>
      <c r="S1310" s="46">
        <f>ТабПозиции[[#This Row],[totalSumm]]-ТабПозиции[[#This Row],[payment]]</f>
        <v>0</v>
      </c>
      <c r="T1310" s="18" t="s">
        <v>960</v>
      </c>
      <c r="U1310" s="40" t="s">
        <v>545</v>
      </c>
      <c r="V1310" s="40" t="str">
        <f>IF(AND(ТабПозиции[[#This Row],[Остаток]]=0,ТабПозиции[[#This Row],[Заказан]]="Да"),"Да","Нет")</f>
        <v>Да</v>
      </c>
      <c r="W1310" s="40" t="str">
        <f>IF(AND(ТабПозиции[[#This Row],[Остаток]]=0,ТабПозиции[[#This Row],[Заказан]]="Да"),"Да","Нет")</f>
        <v>Да</v>
      </c>
      <c r="X1310" s="3"/>
      <c r="Y1310"/>
    </row>
    <row r="1311" spans="1:25" hidden="1" x14ac:dyDescent="0.25">
      <c r="A1311" s="10">
        <v>335</v>
      </c>
      <c r="B1311" s="1">
        <f>IFERROR(VLOOKUP(ТабПозиции[[#This Row],[orderNum]],ТабЗаказы[#Data],MATCH(B$7,ТабЗаказы[#Headers],0),0),"")</f>
        <v>45607</v>
      </c>
      <c r="C1311" t="str">
        <f>MONTH(ТабПозиции[[#This Row],[date]])&amp;"/"&amp;YEAR(ТабПозиции[[#This Row],[date]])</f>
        <v>11/2024</v>
      </c>
      <c r="D1311" s="1" t="str">
        <f>IFERROR(VLOOKUP(ТабПозиции[[#This Row],[orderNum]],ТабЗаказы[#Data],MATCH(D$7,ТабЗаказы[#Headers],0),0),"")</f>
        <v/>
      </c>
      <c r="E1311" s="1" t="str">
        <f>IFERROR(VLOOKUP(ТабПозиции[[#This Row],[orderNum]],ТабЗаказы[#Data],MATCH(E$7,ТабЗаказы[#Headers],0),0),"")</f>
        <v/>
      </c>
      <c r="F1311" s="10" t="s">
        <v>1831</v>
      </c>
      <c r="G1311" s="40" t="s">
        <v>545</v>
      </c>
      <c r="I1311" s="18">
        <v>45618</v>
      </c>
      <c r="J1311" s="10">
        <v>1</v>
      </c>
      <c r="K1311" s="10">
        <v>322</v>
      </c>
      <c r="L1311">
        <f>ТабПозиции[[#This Row],[discountPrice]]*ТабПозиции[[#This Row],[quantity]]</f>
        <v>322</v>
      </c>
      <c r="M1311" s="10">
        <v>322</v>
      </c>
      <c r="N1311">
        <f t="shared" si="25"/>
        <v>322</v>
      </c>
      <c r="O1311" s="10">
        <v>69</v>
      </c>
      <c r="P13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Row],[orderNum]],ТабПозиции[orderSumm])&gt;1500),ABS(N1311*VLOOKUP(ТабПозиции[[#This Row],[orderNum]],ТабЗаказы[#Data],MATCH("Percent",ТабЗаказы[#Headers],0),0))/100,200/COUNTIF(ТабПозиции[orderNum],ТабПозиции[[#This Row],[orderNum]])),0),"")</f>
        <v>48</v>
      </c>
      <c r="Q1311">
        <f>IF(OR(ТабПозиции[[#This Row],[item]]="По штрихкоду",ТабПозиции[[#This Row],[item]]="Посылка"),ТабПозиции[[#This Row],[deliverySumm]]+ТабПозиции[[#This Row],[deliveryPost]],SUM(N1311:P1311))</f>
        <v>439</v>
      </c>
      <c r="R1311" s="41">
        <v>439</v>
      </c>
      <c r="S1311" s="46">
        <f>ТабПозиции[[#This Row],[totalSumm]]-ТабПозиции[[#This Row],[payment]]</f>
        <v>0</v>
      </c>
      <c r="T1311" s="18" t="s">
        <v>1118</v>
      </c>
      <c r="U1311" s="40" t="s">
        <v>545</v>
      </c>
      <c r="V1311" s="40" t="str">
        <f>IF(AND(ТабПозиции[[#This Row],[Остаток]]=0,ТабПозиции[[#This Row],[Заказан]]="Да"),"Да","Нет")</f>
        <v>Да</v>
      </c>
      <c r="W1311" s="40" t="str">
        <f>IF(AND(ТабПозиции[[#This Row],[Остаток]]=0,ТабПозиции[[#This Row],[Заказан]]="Да"),"Да","Нет")</f>
        <v>Да</v>
      </c>
      <c r="X1311" s="3"/>
      <c r="Y1311"/>
    </row>
    <row r="1312" spans="1:25" hidden="1" x14ac:dyDescent="0.25">
      <c r="A1312" s="10">
        <v>352</v>
      </c>
      <c r="B1312" s="1">
        <f>IFERROR(VLOOKUP(ТабПозиции[[#This Row],[orderNum]],ТабЗаказы[#Data],MATCH(B$7,ТабЗаказы[#Headers],0),0),"")</f>
        <v>45618</v>
      </c>
      <c r="C1312" t="str">
        <f>MONTH(ТабПозиции[[#This Row],[date]])&amp;"/"&amp;YEAR(ТабПозиции[[#This Row],[date]])</f>
        <v>11/2024</v>
      </c>
      <c r="D1312" s="1" t="str">
        <f>IFERROR(VLOOKUP(ТабПозиции[[#This Row],[orderNum]],ТабЗаказы[#Data],MATCH(D$7,ТабЗаказы[#Headers],0),0),"")</f>
        <v/>
      </c>
      <c r="E1312" s="1" t="str">
        <f>IFERROR(VLOOKUP(ТабПозиции[[#This Row],[orderNum]],ТабЗаказы[#Data],MATCH(E$7,ТабЗаказы[#Headers],0),0),"")</f>
        <v/>
      </c>
      <c r="F1312" s="10" t="s">
        <v>32</v>
      </c>
      <c r="G1312" s="40" t="s">
        <v>545</v>
      </c>
      <c r="I1312" s="18">
        <v>45618</v>
      </c>
      <c r="J1312" s="10">
        <v>1</v>
      </c>
      <c r="K1312" s="10">
        <v>1099</v>
      </c>
      <c r="L1312">
        <f>ТабПозиции[[#This Row],[discountPrice]]*ТабПозиции[[#This Row],[quantity]]</f>
        <v>1099</v>
      </c>
      <c r="M1312" s="10">
        <v>1099</v>
      </c>
      <c r="N1312">
        <f t="shared" si="25"/>
        <v>1099</v>
      </c>
      <c r="P13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Row],[orderNum]],ТабПозиции[orderSumm])&gt;1500),ABS(N1312*VLOOKUP(ТабПозиции[[#This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312">
        <f>IF(OR(ТабПозиции[[#This Row],[item]]="По штрихкоду",ТабПозиции[[#This Row],[item]]="Посылка"),ТабПозиции[[#This Row],[deliverySumm]]+ТабПозиции[[#This Row],[deliveryPost]],SUM(N1312:P1312))</f>
        <v>200</v>
      </c>
      <c r="R1312" s="41">
        <v>200</v>
      </c>
      <c r="S1312" s="46">
        <f>ТабПозиции[[#This Row],[totalSumm]]-ТабПозиции[[#This Row],[payment]]</f>
        <v>0</v>
      </c>
      <c r="T1312" s="18" t="s">
        <v>960</v>
      </c>
      <c r="U1312" s="40" t="s">
        <v>545</v>
      </c>
      <c r="V1312" s="40" t="str">
        <f>IF(AND(ТабПозиции[[#This Row],[Остаток]]=0,ТабПозиции[[#This Row],[Заказан]]="Да"),"Да","Нет")</f>
        <v>Да</v>
      </c>
      <c r="W1312" s="40" t="s">
        <v>545</v>
      </c>
      <c r="X1312" s="3"/>
      <c r="Y1312"/>
    </row>
    <row r="1313" spans="1:25" hidden="1" x14ac:dyDescent="0.25">
      <c r="A1313" s="10">
        <v>353</v>
      </c>
      <c r="B1313" s="1">
        <f>IFERROR(VLOOKUP(ТабПозиции[[#This Row],[orderNum]],ТабЗаказы[#Data],MATCH(B$7,ТабЗаказы[#Headers],0),0),"")</f>
        <v>45618</v>
      </c>
      <c r="C1313" t="str">
        <f>MONTH(ТабПозиции[[#This Row],[date]])&amp;"/"&amp;YEAR(ТабПозиции[[#This Row],[date]])</f>
        <v>11/2024</v>
      </c>
      <c r="D1313" s="1" t="str">
        <f>IFERROR(VLOOKUP(ТабПозиции[[#This Row],[orderNum]],ТабЗаказы[#Data],MATCH(D$7,ТабЗаказы[#Headers],0),0),"")</f>
        <v/>
      </c>
      <c r="E1313" s="1" t="str">
        <f>IFERROR(VLOOKUP(ТабПозиции[[#This Row],[orderNum]],ТабЗаказы[#Data],MATCH(E$7,ТабЗаказы[#Headers],0),0),"")</f>
        <v/>
      </c>
      <c r="F1313" s="10" t="s">
        <v>32</v>
      </c>
      <c r="G1313" s="40" t="s">
        <v>545</v>
      </c>
      <c r="I1313" s="18">
        <v>45618</v>
      </c>
      <c r="J1313" s="10">
        <v>1</v>
      </c>
      <c r="K1313" s="10">
        <v>9219</v>
      </c>
      <c r="L1313">
        <f>ТабПозиции[[#This Row],[discountPrice]]*ТабПозиции[[#This Row],[quantity]]</f>
        <v>9219</v>
      </c>
      <c r="M1313" s="10">
        <v>9219</v>
      </c>
      <c r="N1313">
        <f t="shared" si="25"/>
        <v>9219</v>
      </c>
      <c r="P13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Row],[orderNum]],ТабПозиции[orderSumm])&gt;1500),ABS(N1313*VLOOKUP(ТабПозиции[[#This Row],[orderNum]],ТабЗаказы[#Data],MATCH("Percent",ТабЗаказы[#Headers],0),0))/100,200/COUNTIF(ТабПозиции[orderNum],ТабПозиции[[#This Row],[orderNum]])),0),"")</f>
        <v>1383</v>
      </c>
      <c r="Q1313">
        <f>IF(OR(ТабПозиции[[#This Row],[item]]="По штрихкоду",ТабПозиции[[#This Row],[item]]="Посылка"),ТабПозиции[[#This Row],[deliverySumm]]+ТабПозиции[[#This Row],[deliveryPost]],SUM(N1313:P1313))</f>
        <v>1383</v>
      </c>
      <c r="R1313" s="41">
        <v>1383</v>
      </c>
      <c r="S1313" s="46">
        <f>ТабПозиции[[#This Row],[totalSumm]]-ТабПозиции[[#This Row],[payment]]</f>
        <v>0</v>
      </c>
      <c r="T1313" s="18" t="s">
        <v>960</v>
      </c>
      <c r="U1313" s="40" t="s">
        <v>545</v>
      </c>
      <c r="V1313" s="40" t="str">
        <f>IF(AND(ТабПозиции[[#This Row],[Остаток]]=0,ТабПозиции[[#This Row],[Заказан]]="Да"),"Да","Нет")</f>
        <v>Да</v>
      </c>
      <c r="W1313" s="40" t="s">
        <v>545</v>
      </c>
      <c r="X1313" s="3"/>
      <c r="Y1313"/>
    </row>
    <row r="1314" spans="1:25" hidden="1" x14ac:dyDescent="0.25">
      <c r="A1314" s="10">
        <v>354</v>
      </c>
      <c r="B1314" s="1">
        <f>IFERROR(VLOOKUP(ТабПозиции[[#This Row],[orderNum]],ТабЗаказы[#Data],MATCH(B$7,ТабЗаказы[#Headers],0),0),"")</f>
        <v>45618</v>
      </c>
      <c r="C1314" t="str">
        <f>MONTH(ТабПозиции[[#This Row],[date]])&amp;"/"&amp;YEAR(ТабПозиции[[#This Row],[date]])</f>
        <v>11/2024</v>
      </c>
      <c r="D1314" s="1" t="str">
        <f>IFERROR(VLOOKUP(ТабПозиции[[#This Row],[orderNum]],ТабЗаказы[#Data],MATCH(D$7,ТабЗаказы[#Headers],0),0),"")</f>
        <v/>
      </c>
      <c r="E1314" s="1" t="str">
        <f>IFERROR(VLOOKUP(ТабПозиции[[#This Row],[orderNum]],ТабЗаказы[#Data],MATCH(E$7,ТабЗаказы[#Headers],0),0),"")</f>
        <v/>
      </c>
      <c r="F1314" s="10" t="s">
        <v>32</v>
      </c>
      <c r="G1314" s="40" t="s">
        <v>545</v>
      </c>
      <c r="I1314" s="18">
        <v>45618</v>
      </c>
      <c r="J1314" s="10">
        <v>1</v>
      </c>
      <c r="K1314" s="10">
        <v>4808</v>
      </c>
      <c r="L1314">
        <f>ТабПозиции[[#This Row],[discountPrice]]*ТабПозиции[[#This Row],[quantity]]</f>
        <v>4808</v>
      </c>
      <c r="M1314" s="10">
        <v>4808</v>
      </c>
      <c r="N1314">
        <f t="shared" si="25"/>
        <v>4808</v>
      </c>
      <c r="P13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Row],[orderNum]],ТабПозиции[orderSumm])&gt;1500),ABS(N1314*VLOOKUP(ТабПозиции[[#This Row],[orderNum]],ТабЗаказы[#Data],MATCH("Percent",ТабЗаказы[#Headers],0),0))/100,200/COUNTIF(ТабПозиции[orderNum],ТабПозиции[[#This Row],[orderNum]])),0),"")</f>
        <v>721</v>
      </c>
      <c r="Q1314">
        <f>IF(OR(ТабПозиции[[#This Row],[item]]="По штрихкоду",ТабПозиции[[#This Row],[item]]="Посылка"),ТабПозиции[[#This Row],[deliverySumm]]+ТабПозиции[[#This Row],[deliveryPost]],SUM(N1314:P1314))</f>
        <v>721</v>
      </c>
      <c r="R1314" s="41">
        <v>721</v>
      </c>
      <c r="S1314" s="46">
        <f>ТабПозиции[[#This Row],[totalSumm]]-ТабПозиции[[#This Row],[payment]]</f>
        <v>0</v>
      </c>
      <c r="T1314" s="18" t="s">
        <v>960</v>
      </c>
      <c r="U1314" s="40" t="s">
        <v>545</v>
      </c>
      <c r="V1314" s="40" t="str">
        <f>IF(AND(ТабПозиции[[#This Row],[Остаток]]=0,ТабПозиции[[#This Row],[Заказан]]="Да"),"Да","Нет")</f>
        <v>Да</v>
      </c>
      <c r="W1314" s="40" t="s">
        <v>545</v>
      </c>
      <c r="X1314" s="3"/>
      <c r="Y1314"/>
    </row>
    <row r="1315" spans="1:25" hidden="1" x14ac:dyDescent="0.25">
      <c r="A1315" s="10">
        <v>355</v>
      </c>
      <c r="B1315" s="1">
        <f>IFERROR(VLOOKUP(ТабПозиции[[#This Row],[orderNum]],ТабЗаказы[#Data],MATCH(B$7,ТабЗаказы[#Headers],0),0),"")</f>
        <v>45620</v>
      </c>
      <c r="C1315" t="str">
        <f>MONTH(ТабПозиции[[#This Row],[date]])&amp;"/"&amp;YEAR(ТабПозиции[[#This Row],[date]])</f>
        <v>11/2024</v>
      </c>
      <c r="D1315" s="1" t="str">
        <f>IFERROR(VLOOKUP(ТабПозиции[[#This Row],[orderNum]],ТабЗаказы[#Data],MATCH(D$7,ТабЗаказы[#Headers],0),0),"")</f>
        <v/>
      </c>
      <c r="E1315" s="1" t="str">
        <f>IFERROR(VLOOKUP(ТабПозиции[[#This Row],[orderNum]],ТабЗаказы[#Data],MATCH(E$7,ТабЗаказы[#Headers],0),0),"")</f>
        <v/>
      </c>
      <c r="F1315" s="16" t="s">
        <v>1849</v>
      </c>
      <c r="G1315" s="40" t="s">
        <v>545</v>
      </c>
      <c r="I1315" s="18">
        <v>45623</v>
      </c>
      <c r="J1315" s="10">
        <v>1</v>
      </c>
      <c r="K1315" s="10">
        <v>127</v>
      </c>
      <c r="L1315">
        <f>ТабПозиции[[#This Row],[discountPrice]]*ТабПозиции[[#This Row],[quantity]]</f>
        <v>127</v>
      </c>
      <c r="M1315" s="10">
        <v>136</v>
      </c>
      <c r="N1315">
        <f t="shared" si="25"/>
        <v>136</v>
      </c>
      <c r="P13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Row],[orderNum]],ТабПозиции[orderSumm])&gt;1500),ABS(N1315*VLOOKUP(ТабПозиции[[#This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315">
        <f>IF(OR(ТабПозиции[[#This Row],[item]]="По штрихкоду",ТабПозиции[[#This Row],[item]]="Посылка"),ТабПозиции[[#This Row],[deliverySumm]]+ТабПозиции[[#This Row],[deliveryPost]],SUM(N1315:P1315))</f>
        <v>156</v>
      </c>
      <c r="R1315" s="41">
        <v>156</v>
      </c>
      <c r="S1315" s="46">
        <f>ТабПозиции[[#This Row],[totalSumm]]-ТабПозиции[[#This Row],[payment]]</f>
        <v>0</v>
      </c>
      <c r="T1315" s="18" t="s">
        <v>970</v>
      </c>
      <c r="U1315" s="40" t="s">
        <v>545</v>
      </c>
      <c r="V1315" s="40" t="str">
        <f>IF(AND(ТабПозиции[[#This Row],[Остаток]]=0,ТабПозиции[[#This Row],[Заказан]]="Да"),"Да","Нет")</f>
        <v>Да</v>
      </c>
      <c r="W1315" s="40" t="str">
        <f>IF(AND(ТабПозиции[[#This Row],[Остаток]]=0,ТабПозиции[[#This Row],[Заказан]]="Да"),"Да","Нет")</f>
        <v>Да</v>
      </c>
      <c r="X1315" s="3"/>
      <c r="Y1315"/>
    </row>
    <row r="1316" spans="1:25" hidden="1" x14ac:dyDescent="0.25">
      <c r="A1316" s="10">
        <v>355</v>
      </c>
      <c r="B1316" s="1">
        <f>IFERROR(VLOOKUP(ТабПозиции[[#This Row],[orderNum]],ТабЗаказы[#Data],MATCH(B$7,ТабЗаказы[#Headers],0),0),"")</f>
        <v>45620</v>
      </c>
      <c r="C1316" t="str">
        <f>MONTH(ТабПозиции[[#This Row],[date]])&amp;"/"&amp;YEAR(ТабПозиции[[#This Row],[date]])</f>
        <v>11/2024</v>
      </c>
      <c r="D1316" s="1" t="str">
        <f>IFERROR(VLOOKUP(ТабПозиции[[#This Row],[orderNum]],ТабЗаказы[#Data],MATCH(D$7,ТабЗаказы[#Headers],0),0),"")</f>
        <v/>
      </c>
      <c r="E1316" s="1" t="str">
        <f>IFERROR(VLOOKUP(ТабПозиции[[#This Row],[orderNum]],ТабЗаказы[#Data],MATCH(E$7,ТабЗаказы[#Headers],0),0),"")</f>
        <v/>
      </c>
      <c r="F1316" s="16" t="s">
        <v>1850</v>
      </c>
      <c r="G1316" s="40" t="s">
        <v>545</v>
      </c>
      <c r="I1316" s="18">
        <v>45624</v>
      </c>
      <c r="J1316" s="10">
        <v>1</v>
      </c>
      <c r="K1316" s="10">
        <v>120</v>
      </c>
      <c r="L1316">
        <f>ТабПозиции[[#This Row],[discountPrice]]*ТабПозиции[[#This Row],[quantity]]</f>
        <v>120</v>
      </c>
      <c r="M1316" s="10">
        <v>128</v>
      </c>
      <c r="N1316">
        <f t="shared" si="25"/>
        <v>128</v>
      </c>
      <c r="P13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Row],[orderNum]],ТабПозиции[orderSumm])&gt;1500),ABS(N1316*VLOOKUP(ТабПозиции[[#This Row],[orderNum]],ТабЗаказы[#Data],MATCH("Percent",ТабЗаказы[#Headers],0),0))/100,200/COUNTIF(ТабПозиции[orderNum],ТабПозиции[[#This Row],[orderNum]])),0),"")</f>
        <v>19</v>
      </c>
      <c r="Q1316">
        <f>IF(OR(ТабПозиции[[#This Row],[item]]="По штрихкоду",ТабПозиции[[#This Row],[item]]="Посылка"),ТабПозиции[[#This Row],[deliverySumm]]+ТабПозиции[[#This Row],[deliveryPost]],SUM(N1316:P1316))</f>
        <v>147</v>
      </c>
      <c r="R1316" s="41">
        <v>147</v>
      </c>
      <c r="S1316" s="46">
        <f>ТабПозиции[[#This Row],[totalSumm]]-ТабПозиции[[#This Row],[payment]]</f>
        <v>0</v>
      </c>
      <c r="T1316" s="18" t="s">
        <v>970</v>
      </c>
      <c r="U1316" s="40" t="s">
        <v>545</v>
      </c>
      <c r="V1316" s="40" t="str">
        <f>IF(AND(ТабПозиции[[#This Row],[Остаток]]=0,ТабПозиции[[#This Row],[Заказан]]="Да"),"Да","Нет")</f>
        <v>Да</v>
      </c>
      <c r="W1316" s="40" t="str">
        <f>IF(AND(ТабПозиции[[#This Row],[Остаток]]=0,ТабПозиции[[#This Row],[Заказан]]="Да"),"Да","Нет")</f>
        <v>Да</v>
      </c>
      <c r="X1316" s="3"/>
      <c r="Y1316"/>
    </row>
    <row r="1317" spans="1:25" hidden="1" x14ac:dyDescent="0.25">
      <c r="A1317" s="10">
        <v>355</v>
      </c>
      <c r="B1317" s="1">
        <f>IFERROR(VLOOKUP(ТабПозиции[[#This Row],[orderNum]],ТабЗаказы[#Data],MATCH(B$7,ТабЗаказы[#Headers],0),0),"")</f>
        <v>45620</v>
      </c>
      <c r="C1317" t="str">
        <f>MONTH(ТабПозиции[[#This Row],[date]])&amp;"/"&amp;YEAR(ТабПозиции[[#This Row],[date]])</f>
        <v>11/2024</v>
      </c>
      <c r="D1317" s="1" t="str">
        <f>IFERROR(VLOOKUP(ТабПозиции[[#This Row],[orderNum]],ТабЗаказы[#Data],MATCH(D$7,ТабЗаказы[#Headers],0),0),"")</f>
        <v/>
      </c>
      <c r="E1317" s="1" t="str">
        <f>IFERROR(VLOOKUP(ТабПозиции[[#This Row],[orderNum]],ТабЗаказы[#Data],MATCH(E$7,ТабЗаказы[#Headers],0),0),"")</f>
        <v/>
      </c>
      <c r="F1317" s="16" t="s">
        <v>1851</v>
      </c>
      <c r="G1317" s="40" t="s">
        <v>545</v>
      </c>
      <c r="I1317" s="18">
        <v>45622</v>
      </c>
      <c r="J1317" s="10">
        <v>1</v>
      </c>
      <c r="K1317" s="10">
        <v>95</v>
      </c>
      <c r="L1317">
        <f>ТабПозиции[[#This Row],[discountPrice]]*ТабПозиции[[#This Row],[quantity]]</f>
        <v>95</v>
      </c>
      <c r="M1317" s="10">
        <v>102</v>
      </c>
      <c r="N1317">
        <f t="shared" si="25"/>
        <v>102</v>
      </c>
      <c r="P13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Row],[orderNum]],ТабПозиции[orderSumm])&gt;1500),ABS(N1317*VLOOKUP(ТабПозиции[[#This Row],[orderNum]],ТабЗаказы[#Data],MATCH("Percent",ТабЗаказы[#Headers],0),0))/100,200/COUNTIF(ТабПозиции[orderNum],ТабПозиции[[#This Row],[orderNum]])),0),"")</f>
        <v>15</v>
      </c>
      <c r="Q1317">
        <f>IF(OR(ТабПозиции[[#This Row],[item]]="По штрихкоду",ТабПозиции[[#This Row],[item]]="Посылка"),ТабПозиции[[#This Row],[deliverySumm]]+ТабПозиции[[#This Row],[deliveryPost]],SUM(N1317:P1317))</f>
        <v>117</v>
      </c>
      <c r="R1317" s="41">
        <v>117</v>
      </c>
      <c r="S1317" s="46">
        <f>ТабПозиции[[#This Row],[totalSumm]]-ТабПозиции[[#This Row],[payment]]</f>
        <v>0</v>
      </c>
      <c r="T1317" s="18" t="s">
        <v>970</v>
      </c>
      <c r="U1317" s="40" t="s">
        <v>545</v>
      </c>
      <c r="V1317" s="40" t="str">
        <f>IF(AND(ТабПозиции[[#This Row],[Остаток]]=0,ТабПозиции[[#This Row],[Заказан]]="Да"),"Да","Нет")</f>
        <v>Да</v>
      </c>
      <c r="W1317" s="40" t="str">
        <f>IF(AND(ТабПозиции[[#This Row],[Остаток]]=0,ТабПозиции[[#This Row],[Заказан]]="Да"),"Да","Нет")</f>
        <v>Да</v>
      </c>
      <c r="X1317" s="3"/>
      <c r="Y1317"/>
    </row>
    <row r="1318" spans="1:25" hidden="1" x14ac:dyDescent="0.25">
      <c r="A1318" s="10">
        <v>355</v>
      </c>
      <c r="B1318" s="1">
        <f>IFERROR(VLOOKUP(ТабПозиции[[#This Row],[orderNum]],ТабЗаказы[#Data],MATCH(B$7,ТабЗаказы[#Headers],0),0),"")</f>
        <v>45620</v>
      </c>
      <c r="C1318" t="str">
        <f>MONTH(ТабПозиции[[#This Row],[date]])&amp;"/"&amp;YEAR(ТабПозиции[[#This Row],[date]])</f>
        <v>11/2024</v>
      </c>
      <c r="D1318" s="1" t="str">
        <f>IFERROR(VLOOKUP(ТабПозиции[[#This Row],[orderNum]],ТабЗаказы[#Data],MATCH(D$7,ТабЗаказы[#Headers],0),0),"")</f>
        <v/>
      </c>
      <c r="E1318" s="1" t="str">
        <f>IFERROR(VLOOKUP(ТабПозиции[[#This Row],[orderNum]],ТабЗаказы[#Data],MATCH(E$7,ТабЗаказы[#Headers],0),0),"")</f>
        <v/>
      </c>
      <c r="F1318" s="16" t="s">
        <v>1852</v>
      </c>
      <c r="G1318" s="40" t="s">
        <v>545</v>
      </c>
      <c r="I1318" s="18">
        <v>45622</v>
      </c>
      <c r="J1318" s="10">
        <v>1</v>
      </c>
      <c r="K1318" s="10">
        <v>417</v>
      </c>
      <c r="L1318">
        <f>ТабПозиции[[#This Row],[discountPrice]]*ТабПозиции[[#This Row],[quantity]]</f>
        <v>417</v>
      </c>
      <c r="M1318" s="10">
        <v>438</v>
      </c>
      <c r="N1318">
        <f t="shared" si="25"/>
        <v>438</v>
      </c>
      <c r="P13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Row],[orderNum]],ТабПозиции[orderSumm])&gt;1500),ABS(N1318*VLOOKUP(ТабПозиции[[#This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318">
        <f>IF(OR(ТабПозиции[[#This Row],[item]]="По штрихкоду",ТабПозиции[[#This Row],[item]]="Посылка"),ТабПозиции[[#This Row],[deliverySumm]]+ТабПозиции[[#This Row],[deliveryPost]],SUM(N1318:P1318))</f>
        <v>504</v>
      </c>
      <c r="R1318" s="41">
        <v>504</v>
      </c>
      <c r="S1318" s="46">
        <f>ТабПозиции[[#This Row],[totalSumm]]-ТабПозиции[[#This Row],[payment]]</f>
        <v>0</v>
      </c>
      <c r="T1318" s="18" t="s">
        <v>960</v>
      </c>
      <c r="U1318" s="40" t="s">
        <v>545</v>
      </c>
      <c r="V1318" s="40" t="str">
        <f>IF(AND(ТабПозиции[[#This Row],[Остаток]]=0,ТабПозиции[[#This Row],[Заказан]]="Да"),"Да","Нет")</f>
        <v>Да</v>
      </c>
      <c r="W1318" s="40" t="str">
        <f>IF(AND(ТабПозиции[[#This Row],[Остаток]]=0,ТабПозиции[[#This Row],[Заказан]]="Да"),"Да","Нет")</f>
        <v>Да</v>
      </c>
      <c r="X1318" s="3"/>
      <c r="Y1318"/>
    </row>
    <row r="1319" spans="1:25" hidden="1" x14ac:dyDescent="0.25">
      <c r="A1319" s="10">
        <v>355</v>
      </c>
      <c r="B1319" s="1">
        <f>IFERROR(VLOOKUP(ТабПозиции[[#This Row],[orderNum]],ТабЗаказы[#Data],MATCH(B$7,ТабЗаказы[#Headers],0),0),"")</f>
        <v>45620</v>
      </c>
      <c r="C1319" t="str">
        <f>MONTH(ТабПозиции[[#This Row],[date]])&amp;"/"&amp;YEAR(ТабПозиции[[#This Row],[date]])</f>
        <v>11/2024</v>
      </c>
      <c r="D1319" s="1" t="str">
        <f>IFERROR(VLOOKUP(ТабПозиции[[#This Row],[orderNum]],ТабЗаказы[#Data],MATCH(D$7,ТабЗаказы[#Headers],0),0),"")</f>
        <v/>
      </c>
      <c r="E1319" s="1" t="str">
        <f>IFERROR(VLOOKUP(ТабПозиции[[#This Row],[orderNum]],ТабЗаказы[#Data],MATCH(E$7,ТабЗаказы[#Headers],0),0),"")</f>
        <v/>
      </c>
      <c r="F1319" s="16" t="s">
        <v>1853</v>
      </c>
      <c r="G1319" s="40" t="s">
        <v>545</v>
      </c>
      <c r="I1319" s="18">
        <v>45622</v>
      </c>
      <c r="J1319" s="10">
        <v>1</v>
      </c>
      <c r="K1319" s="10">
        <v>483</v>
      </c>
      <c r="L1319">
        <f>ТабПозиции[[#This Row],[discountPrice]]*ТабПозиции[[#This Row],[quantity]]</f>
        <v>483</v>
      </c>
      <c r="M1319" s="10">
        <v>514</v>
      </c>
      <c r="N1319">
        <f t="shared" si="25"/>
        <v>514</v>
      </c>
      <c r="P13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Row],[orderNum]],ТабПозиции[orderSumm])&gt;1500),ABS(N1319*VLOOKUP(ТабПозиции[[#This Row],[orderNum]],ТабЗаказы[#Data],MATCH("Percent",ТабЗаказы[#Headers],0),0))/100,200/COUNTIF(ТабПозиции[orderNum],ТабПозиции[[#This Row],[orderNum]])),0),"")</f>
        <v>77</v>
      </c>
      <c r="Q1319">
        <f>IF(OR(ТабПозиции[[#This Row],[item]]="По штрихкоду",ТабПозиции[[#This Row],[item]]="Посылка"),ТабПозиции[[#This Row],[deliverySumm]]+ТабПозиции[[#This Row],[deliveryPost]],SUM(N1319:P1319))</f>
        <v>591</v>
      </c>
      <c r="R1319" s="41">
        <v>591</v>
      </c>
      <c r="S1319" s="46">
        <f>ТабПозиции[[#This Row],[totalSumm]]-ТабПозиции[[#This Row],[payment]]</f>
        <v>0</v>
      </c>
      <c r="T1319" s="18" t="s">
        <v>970</v>
      </c>
      <c r="U1319" s="40" t="s">
        <v>545</v>
      </c>
      <c r="V1319" s="40" t="str">
        <f>IF(AND(ТабПозиции[[#This Row],[Остаток]]=0,ТабПозиции[[#This Row],[Заказан]]="Да"),"Да","Нет")</f>
        <v>Да</v>
      </c>
      <c r="W1319" s="40" t="str">
        <f>IF(AND(ТабПозиции[[#This Row],[Остаток]]=0,ТабПозиции[[#This Row],[Заказан]]="Да"),"Да","Нет")</f>
        <v>Да</v>
      </c>
      <c r="X1319" s="3"/>
      <c r="Y1319"/>
    </row>
    <row r="1320" spans="1:25" hidden="1" x14ac:dyDescent="0.25">
      <c r="A1320" s="10">
        <v>355</v>
      </c>
      <c r="B1320" s="1">
        <f>IFERROR(VLOOKUP(ТабПозиции[[#This Row],[orderNum]],ТабЗаказы[#Data],MATCH(B$7,ТабЗаказы[#Headers],0),0),"")</f>
        <v>45620</v>
      </c>
      <c r="C1320" t="str">
        <f>MONTH(ТабПозиции[[#This Row],[date]])&amp;"/"&amp;YEAR(ТабПозиции[[#This Row],[date]])</f>
        <v>11/2024</v>
      </c>
      <c r="D1320" s="1" t="str">
        <f>IFERROR(VLOOKUP(ТабПозиции[[#This Row],[orderNum]],ТабЗаказы[#Data],MATCH(D$7,ТабЗаказы[#Headers],0),0),"")</f>
        <v/>
      </c>
      <c r="E1320" s="1" t="str">
        <f>IFERROR(VLOOKUP(ТабПозиции[[#This Row],[orderNum]],ТабЗаказы[#Data],MATCH(E$7,ТабЗаказы[#Headers],0),0),"")</f>
        <v/>
      </c>
      <c r="F1320" s="16" t="s">
        <v>1854</v>
      </c>
      <c r="G1320" s="40" t="s">
        <v>545</v>
      </c>
      <c r="I1320" s="18">
        <v>45622</v>
      </c>
      <c r="J1320" s="10">
        <v>1</v>
      </c>
      <c r="K1320" s="10">
        <v>126</v>
      </c>
      <c r="L1320">
        <f>ТабПозиции[[#This Row],[discountPrice]]*ТабПозиции[[#This Row],[quantity]]</f>
        <v>126</v>
      </c>
      <c r="M1320" s="10">
        <v>135</v>
      </c>
      <c r="N1320">
        <f t="shared" si="25"/>
        <v>135</v>
      </c>
      <c r="P13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Row],[orderNum]],ТабПозиции[orderSumm])&gt;1500),ABS(N1320*VLOOKUP(ТабПозиции[[#This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320">
        <f>IF(OR(ТабПозиции[[#This Row],[item]]="По штрихкоду",ТабПозиции[[#This Row],[item]]="Посылка"),ТабПозиции[[#This Row],[deliverySumm]]+ТабПозиции[[#This Row],[deliveryPost]],SUM(N1320:P1320))</f>
        <v>155</v>
      </c>
      <c r="R1320" s="41">
        <v>155</v>
      </c>
      <c r="S1320" s="46">
        <f>ТабПозиции[[#This Row],[totalSumm]]-ТабПозиции[[#This Row],[payment]]</f>
        <v>0</v>
      </c>
      <c r="T1320" s="18" t="s">
        <v>970</v>
      </c>
      <c r="U1320" s="40" t="s">
        <v>545</v>
      </c>
      <c r="V1320" s="40" t="str">
        <f>IF(AND(ТабПозиции[[#This Row],[Остаток]]=0,ТабПозиции[[#This Row],[Заказан]]="Да"),"Да","Нет")</f>
        <v>Да</v>
      </c>
      <c r="W1320" s="40" t="str">
        <f>IF(AND(ТабПозиции[[#This Row],[Остаток]]=0,ТабПозиции[[#This Row],[Заказан]]="Да"),"Да","Нет")</f>
        <v>Да</v>
      </c>
      <c r="X1320" s="3"/>
      <c r="Y1320"/>
    </row>
    <row r="1321" spans="1:25" hidden="1" x14ac:dyDescent="0.25">
      <c r="A1321" s="10">
        <v>355</v>
      </c>
      <c r="B1321" s="1">
        <f>IFERROR(VLOOKUP(ТабПозиции[[#This Row],[orderNum]],ТабЗаказы[#Data],MATCH(B$7,ТабЗаказы[#Headers],0),0),"")</f>
        <v>45620</v>
      </c>
      <c r="C1321" t="str">
        <f>MONTH(ТабПозиции[[#This Row],[date]])&amp;"/"&amp;YEAR(ТабПозиции[[#This Row],[date]])</f>
        <v>11/2024</v>
      </c>
      <c r="D1321" s="1" t="str">
        <f>IFERROR(VLOOKUP(ТабПозиции[[#This Row],[orderNum]],ТабЗаказы[#Data],MATCH(D$7,ТабЗаказы[#Headers],0),0),"")</f>
        <v/>
      </c>
      <c r="E1321" s="1" t="str">
        <f>IFERROR(VLOOKUP(ТабПозиции[[#This Row],[orderNum]],ТабЗаказы[#Data],MATCH(E$7,ТабЗаказы[#Headers],0),0),"")</f>
        <v/>
      </c>
      <c r="F1321" s="16" t="s">
        <v>1855</v>
      </c>
      <c r="G1321" s="40" t="s">
        <v>545</v>
      </c>
      <c r="I1321" s="18">
        <v>45621</v>
      </c>
      <c r="J1321" s="10">
        <v>1</v>
      </c>
      <c r="K1321" s="10">
        <v>141</v>
      </c>
      <c r="L1321">
        <f>ТабПозиции[[#This Row],[discountPrice]]*ТабПозиции[[#This Row],[quantity]]</f>
        <v>141</v>
      </c>
      <c r="M1321" s="10">
        <v>151</v>
      </c>
      <c r="N1321">
        <f t="shared" si="25"/>
        <v>151</v>
      </c>
      <c r="P13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Row],[orderNum]],ТабПозиции[orderSumm])&gt;1500),ABS(N1321*VLOOKUP(ТабПозиции[[#This Row],[orderNum]],ТабЗаказы[#Data],MATCH("Percent",ТабЗаказы[#Headers],0),0))/100,200/COUNTIF(ТабПозиции[orderNum],ТабПозиции[[#This Row],[orderNum]])),0),"")</f>
        <v>23</v>
      </c>
      <c r="Q1321">
        <f>IF(OR(ТабПозиции[[#This Row],[item]]="По штрихкоду",ТабПозиции[[#This Row],[item]]="Посылка"),ТабПозиции[[#This Row],[deliverySumm]]+ТабПозиции[[#This Row],[deliveryPost]],SUM(N1321:P1321))</f>
        <v>174</v>
      </c>
      <c r="R1321" s="41">
        <v>174</v>
      </c>
      <c r="S1321" s="46">
        <f>ТабПозиции[[#This Row],[totalSumm]]-ТабПозиции[[#This Row],[payment]]</f>
        <v>0</v>
      </c>
      <c r="T1321" s="18" t="s">
        <v>970</v>
      </c>
      <c r="U1321" s="40" t="s">
        <v>545</v>
      </c>
      <c r="V1321" s="40" t="str">
        <f>IF(AND(ТабПозиции[[#This Row],[Остаток]]=0,ТабПозиции[[#This Row],[Заказан]]="Да"),"Да","Нет")</f>
        <v>Да</v>
      </c>
      <c r="W1321" s="40" t="str">
        <f>IF(AND(ТабПозиции[[#This Row],[Остаток]]=0,ТабПозиции[[#This Row],[Заказан]]="Да"),"Да","Нет")</f>
        <v>Да</v>
      </c>
      <c r="X1321" s="3"/>
      <c r="Y1321"/>
    </row>
    <row r="1322" spans="1:25" hidden="1" x14ac:dyDescent="0.25">
      <c r="A1322" s="10">
        <v>355</v>
      </c>
      <c r="B1322" s="1">
        <f>IFERROR(VLOOKUP(ТабПозиции[[#This Row],[orderNum]],ТабЗаказы[#Data],MATCH(B$7,ТабЗаказы[#Headers],0),0),"")</f>
        <v>45620</v>
      </c>
      <c r="C1322" t="str">
        <f>MONTH(ТабПозиции[[#This Row],[date]])&amp;"/"&amp;YEAR(ТабПозиции[[#This Row],[date]])</f>
        <v>11/2024</v>
      </c>
      <c r="D1322" s="1" t="str">
        <f>IFERROR(VLOOKUP(ТабПозиции[[#This Row],[orderNum]],ТабЗаказы[#Data],MATCH(D$7,ТабЗаказы[#Headers],0),0),"")</f>
        <v/>
      </c>
      <c r="E1322" s="1" t="str">
        <f>IFERROR(VLOOKUP(ТабПозиции[[#This Row],[orderNum]],ТабЗаказы[#Data],MATCH(E$7,ТабЗаказы[#Headers],0),0),"")</f>
        <v/>
      </c>
      <c r="F1322" s="16" t="s">
        <v>1856</v>
      </c>
      <c r="G1322" s="40" t="s">
        <v>545</v>
      </c>
      <c r="I1322" s="18">
        <v>45624</v>
      </c>
      <c r="J1322" s="10">
        <v>1</v>
      </c>
      <c r="K1322" s="10">
        <v>639</v>
      </c>
      <c r="L1322">
        <f>ТабПозиции[[#This Row],[discountPrice]]*ТабПозиции[[#This Row],[quantity]]</f>
        <v>639</v>
      </c>
      <c r="M1322" s="10">
        <v>680</v>
      </c>
      <c r="N1322">
        <f t="shared" si="25"/>
        <v>680</v>
      </c>
      <c r="P13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Row],[orderNum]],ТабПозиции[orderSumm])&gt;1500),ABS(N1322*VLOOKUP(ТабПозиции[[#This Row],[orderNum]],ТабЗаказы[#Data],MATCH("Percent",ТабЗаказы[#Headers],0),0))/100,200/COUNTIF(ТабПозиции[orderNum],ТабПозиции[[#This Row],[orderNum]])),0),"")</f>
        <v>102</v>
      </c>
      <c r="Q1322">
        <f>IF(OR(ТабПозиции[[#This Row],[item]]="По штрихкоду",ТабПозиции[[#This Row],[item]]="Посылка"),ТабПозиции[[#This Row],[deliverySumm]]+ТабПозиции[[#This Row],[deliveryPost]],SUM(N1322:P1322))</f>
        <v>782</v>
      </c>
      <c r="R1322" s="41">
        <v>782</v>
      </c>
      <c r="S1322" s="46">
        <f>ТабПозиции[[#This Row],[totalSumm]]-ТабПозиции[[#This Row],[payment]]</f>
        <v>0</v>
      </c>
      <c r="T1322" s="18" t="s">
        <v>970</v>
      </c>
      <c r="U1322" s="40" t="s">
        <v>545</v>
      </c>
      <c r="V1322" s="40" t="str">
        <f>IF(AND(ТабПозиции[[#This Row],[Остаток]]=0,ТабПозиции[[#This Row],[Заказан]]="Да"),"Да","Нет")</f>
        <v>Да</v>
      </c>
      <c r="W1322" s="40" t="str">
        <f>IF(AND(ТабПозиции[[#This Row],[Остаток]]=0,ТабПозиции[[#This Row],[Заказан]]="Да"),"Да","Нет")</f>
        <v>Да</v>
      </c>
      <c r="X1322" s="3"/>
      <c r="Y1322"/>
    </row>
    <row r="1323" spans="1:25" hidden="1" x14ac:dyDescent="0.25">
      <c r="A1323" s="10">
        <v>355</v>
      </c>
      <c r="B1323" s="1">
        <f>IFERROR(VLOOKUP(ТабПозиции[[#This Row],[orderNum]],ТабЗаказы[#Data],MATCH(B$7,ТабЗаказы[#Headers],0),0),"")</f>
        <v>45620</v>
      </c>
      <c r="C1323" t="str">
        <f>MONTH(ТабПозиции[[#This Row],[date]])&amp;"/"&amp;YEAR(ТабПозиции[[#This Row],[date]])</f>
        <v>11/2024</v>
      </c>
      <c r="D1323" s="1" t="str">
        <f>IFERROR(VLOOKUP(ТабПозиции[[#This Row],[orderNum]],ТабЗаказы[#Data],MATCH(D$7,ТабЗаказы[#Headers],0),0),"")</f>
        <v/>
      </c>
      <c r="E1323" s="1" t="str">
        <f>IFERROR(VLOOKUP(ТабПозиции[[#This Row],[orderNum]],ТабЗаказы[#Data],MATCH(E$7,ТабЗаказы[#Headers],0),0),"")</f>
        <v/>
      </c>
      <c r="F1323" s="16" t="s">
        <v>1857</v>
      </c>
      <c r="G1323" s="40" t="s">
        <v>545</v>
      </c>
      <c r="I1323" s="18">
        <v>45622</v>
      </c>
      <c r="J1323" s="10">
        <v>1</v>
      </c>
      <c r="K1323" s="10">
        <v>295</v>
      </c>
      <c r="L1323">
        <f>ТабПозиции[[#This Row],[discountPrice]]*ТабПозиции[[#This Row],[quantity]]</f>
        <v>295</v>
      </c>
      <c r="M1323" s="10">
        <v>314</v>
      </c>
      <c r="N1323">
        <f t="shared" si="25"/>
        <v>314</v>
      </c>
      <c r="P13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Row],[orderNum]],ТабПозиции[orderSumm])&gt;1500),ABS(N1323*VLOOKUP(ТабПозиции[[#This Row],[orderNum]],ТабЗаказы[#Data],MATCH("Percent",ТабЗаказы[#Headers],0),0))/100,200/COUNTIF(ТабПозиции[orderNum],ТабПозиции[[#This Row],[orderNum]])),0),"")</f>
        <v>47</v>
      </c>
      <c r="Q1323">
        <f>IF(OR(ТабПозиции[[#This Row],[item]]="По штрихкоду",ТабПозиции[[#This Row],[item]]="Посылка"),ТабПозиции[[#This Row],[deliverySumm]]+ТабПозиции[[#This Row],[deliveryPost]],SUM(N1323:P1323))</f>
        <v>361</v>
      </c>
      <c r="R1323" s="41">
        <v>361</v>
      </c>
      <c r="S1323" s="46">
        <f>ТабПозиции[[#This Row],[totalSumm]]-ТабПозиции[[#This Row],[payment]]</f>
        <v>0</v>
      </c>
      <c r="T1323" s="18" t="s">
        <v>970</v>
      </c>
      <c r="U1323" s="40" t="s">
        <v>545</v>
      </c>
      <c r="V1323" s="40" t="str">
        <f>IF(AND(ТабПозиции[[#This Row],[Остаток]]=0,ТабПозиции[[#This Row],[Заказан]]="Да"),"Да","Нет")</f>
        <v>Да</v>
      </c>
      <c r="W1323" s="40" t="str">
        <f>IF(AND(ТабПозиции[[#This Row],[Остаток]]=0,ТабПозиции[[#This Row],[Заказан]]="Да"),"Да","Нет")</f>
        <v>Да</v>
      </c>
      <c r="X1323" s="3"/>
      <c r="Y1323"/>
    </row>
    <row r="1324" spans="1:25" hidden="1" x14ac:dyDescent="0.25">
      <c r="A1324" s="10">
        <v>355</v>
      </c>
      <c r="B1324" s="1">
        <f>IFERROR(VLOOKUP(ТабПозиции[[#This Row],[orderNum]],ТабЗаказы[#Data],MATCH(B$7,ТабЗаказы[#Headers],0),0),"")</f>
        <v>45620</v>
      </c>
      <c r="C1324" t="str">
        <f>MONTH(ТабПозиции[[#This Row],[date]])&amp;"/"&amp;YEAR(ТабПозиции[[#This Row],[date]])</f>
        <v>11/2024</v>
      </c>
      <c r="D1324" s="1" t="str">
        <f>IFERROR(VLOOKUP(ТабПозиции[[#This Row],[orderNum]],ТабЗаказы[#Data],MATCH(D$7,ТабЗаказы[#Headers],0),0),"")</f>
        <v/>
      </c>
      <c r="E1324" s="1" t="str">
        <f>IFERROR(VLOOKUP(ТабПозиции[[#This Row],[orderNum]],ТабЗаказы[#Data],MATCH(E$7,ТабЗаказы[#Headers],0),0),"")</f>
        <v/>
      </c>
      <c r="F1324" s="16" t="s">
        <v>1490</v>
      </c>
      <c r="G1324" s="40" t="s">
        <v>545</v>
      </c>
      <c r="I1324" s="18">
        <v>45621</v>
      </c>
      <c r="J1324" s="10">
        <v>1</v>
      </c>
      <c r="K1324" s="10">
        <v>517</v>
      </c>
      <c r="L1324">
        <f>ТабПозиции[[#This Row],[discountPrice]]*ТабПозиции[[#This Row],[quantity]]</f>
        <v>517</v>
      </c>
      <c r="M1324" s="10">
        <v>551</v>
      </c>
      <c r="N1324">
        <f t="shared" si="25"/>
        <v>551</v>
      </c>
      <c r="P13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Row],[orderNum]],ТабПозиции[orderSumm])&gt;1500),ABS(N1324*VLOOKUP(ТабПозиции[[#This Row],[orderNum]],ТабЗаказы[#Data],MATCH("Percent",ТабЗаказы[#Headers],0),0))/100,200/COUNTIF(ТабПозиции[orderNum],ТабПозиции[[#This Row],[orderNum]])),0),"")</f>
        <v>83</v>
      </c>
      <c r="Q1324">
        <f>IF(OR(ТабПозиции[[#This Row],[item]]="По штрихкоду",ТабПозиции[[#This Row],[item]]="Посылка"),ТабПозиции[[#This Row],[deliverySumm]]+ТабПозиции[[#This Row],[deliveryPost]],SUM(N1324:P1324))</f>
        <v>634</v>
      </c>
      <c r="R1324" s="41">
        <v>634</v>
      </c>
      <c r="S1324" s="46">
        <f>ТабПозиции[[#This Row],[totalSumm]]-ТабПозиции[[#This Row],[payment]]</f>
        <v>0</v>
      </c>
      <c r="T1324" s="18" t="s">
        <v>970</v>
      </c>
      <c r="U1324" s="40" t="s">
        <v>545</v>
      </c>
      <c r="V1324" s="40" t="str">
        <f>IF(AND(ТабПозиции[[#This Row],[Остаток]]=0,ТабПозиции[[#This Row],[Заказан]]="Да"),"Да","Нет")</f>
        <v>Да</v>
      </c>
      <c r="W1324" s="40" t="str">
        <f>IF(AND(ТабПозиции[[#This Row],[Остаток]]=0,ТабПозиции[[#This Row],[Заказан]]="Да"),"Да","Нет")</f>
        <v>Да</v>
      </c>
      <c r="X1324" s="3"/>
      <c r="Y1324"/>
    </row>
    <row r="1325" spans="1:25" hidden="1" x14ac:dyDescent="0.25">
      <c r="A1325" s="10">
        <v>355</v>
      </c>
      <c r="B1325" s="1">
        <f>IFERROR(VLOOKUP(ТабПозиции[[#This Row],[orderNum]],ТабЗаказы[#Data],MATCH(B$7,ТабЗаказы[#Headers],0),0),"")</f>
        <v>45620</v>
      </c>
      <c r="C1325" t="str">
        <f>MONTH(ТабПозиции[[#This Row],[date]])&amp;"/"&amp;YEAR(ТабПозиции[[#This Row],[date]])</f>
        <v>11/2024</v>
      </c>
      <c r="D1325" s="1" t="str">
        <f>IFERROR(VLOOKUP(ТабПозиции[[#This Row],[orderNum]],ТабЗаказы[#Data],MATCH(D$7,ТабЗаказы[#Headers],0),0),"")</f>
        <v/>
      </c>
      <c r="E1325" s="1" t="str">
        <f>IFERROR(VLOOKUP(ТабПозиции[[#This Row],[orderNum]],ТабЗаказы[#Data],MATCH(E$7,ТабЗаказы[#Headers],0),0),"")</f>
        <v/>
      </c>
      <c r="F1325" s="16" t="s">
        <v>1858</v>
      </c>
      <c r="G1325" s="40" t="s">
        <v>545</v>
      </c>
      <c r="I1325" s="18">
        <v>45623</v>
      </c>
      <c r="J1325" s="10">
        <v>1</v>
      </c>
      <c r="K1325" s="10">
        <v>1264</v>
      </c>
      <c r="L1325">
        <f>ТабПозиции[[#This Row],[discountPrice]]*ТабПозиции[[#This Row],[quantity]]</f>
        <v>1264</v>
      </c>
      <c r="M1325" s="10">
        <v>1345</v>
      </c>
      <c r="N1325">
        <f t="shared" si="25"/>
        <v>1345</v>
      </c>
      <c r="P13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Row],[orderNum]],ТабПозиции[orderSumm])&gt;1500),ABS(N1325*VLOOKUP(ТабПозиции[[#This Row],[orderNum]],ТабЗаказы[#Data],MATCH("Percent",ТабЗаказы[#Headers],0),0))/100,200/COUNTIF(ТабПозиции[orderNum],ТабПозиции[[#This Row],[orderNum]])),0),"")</f>
        <v>202</v>
      </c>
      <c r="Q1325">
        <f>IF(OR(ТабПозиции[[#This Row],[item]]="По штрихкоду",ТабПозиции[[#This Row],[item]]="Посылка"),ТабПозиции[[#This Row],[deliverySumm]]+ТабПозиции[[#This Row],[deliveryPost]],SUM(N1325:P1325))</f>
        <v>1547</v>
      </c>
      <c r="R1325" s="41">
        <v>1547</v>
      </c>
      <c r="S1325" s="46">
        <f>ТабПозиции[[#This Row],[totalSumm]]-ТабПозиции[[#This Row],[payment]]</f>
        <v>0</v>
      </c>
      <c r="T1325" s="18" t="s">
        <v>970</v>
      </c>
      <c r="U1325" s="40" t="s">
        <v>545</v>
      </c>
      <c r="V1325" s="40" t="str">
        <f>IF(AND(ТабПозиции[[#This Row],[Остаток]]=0,ТабПозиции[[#This Row],[Заказан]]="Да"),"Да","Нет")</f>
        <v>Да</v>
      </c>
      <c r="W1325" s="40" t="str">
        <f>IF(AND(ТабПозиции[[#This Row],[Остаток]]=0,ТабПозиции[[#This Row],[Заказан]]="Да"),"Да","Нет")</f>
        <v>Да</v>
      </c>
      <c r="X1325" s="3"/>
      <c r="Y1325"/>
    </row>
    <row r="1326" spans="1:25" hidden="1" x14ac:dyDescent="0.25">
      <c r="A1326" s="10">
        <v>355</v>
      </c>
      <c r="B1326" s="1">
        <f>IFERROR(VLOOKUP(ТабПозиции[[#This Row],[orderNum]],ТабЗаказы[#Data],MATCH(B$7,ТабЗаказы[#Headers],0),0),"")</f>
        <v>45620</v>
      </c>
      <c r="C1326" t="str">
        <f>MONTH(ТабПозиции[[#This Row],[date]])&amp;"/"&amp;YEAR(ТабПозиции[[#This Row],[date]])</f>
        <v>11/2024</v>
      </c>
      <c r="D1326" s="1" t="str">
        <f>IFERROR(VLOOKUP(ТабПозиции[[#This Row],[orderNum]],ТабЗаказы[#Data],MATCH(D$7,ТабЗаказы[#Headers],0),0),"")</f>
        <v/>
      </c>
      <c r="E1326" s="1" t="str">
        <f>IFERROR(VLOOKUP(ТабПозиции[[#This Row],[orderNum]],ТабЗаказы[#Data],MATCH(E$7,ТабЗаказы[#Headers],0),0),"")</f>
        <v/>
      </c>
      <c r="F1326" s="16" t="s">
        <v>1859</v>
      </c>
      <c r="G1326" s="40" t="s">
        <v>545</v>
      </c>
      <c r="I1326" s="18">
        <v>45622</v>
      </c>
      <c r="J1326" s="10">
        <v>1</v>
      </c>
      <c r="K1326" s="10">
        <v>343</v>
      </c>
      <c r="L1326">
        <f>ТабПозиции[[#This Row],[discountPrice]]*ТабПозиции[[#This Row],[quantity]]</f>
        <v>343</v>
      </c>
      <c r="M1326" s="10">
        <v>365</v>
      </c>
      <c r="N1326">
        <f t="shared" si="25"/>
        <v>365</v>
      </c>
      <c r="P13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Row],[orderNum]],ТабПозиции[orderSumm])&gt;1500),ABS(N1326*VLOOKUP(ТабПозиции[[#This Row],[orderNum]],ТабЗаказы[#Data],MATCH("Percent",ТабЗаказы[#Headers],0),0))/100,200/COUNTIF(ТабПозиции[orderNum],ТабПозиции[[#This Row],[orderNum]])),0),"")</f>
        <v>55</v>
      </c>
      <c r="Q1326">
        <f>IF(OR(ТабПозиции[[#This Row],[item]]="По штрихкоду",ТабПозиции[[#This Row],[item]]="Посылка"),ТабПозиции[[#This Row],[deliverySumm]]+ТабПозиции[[#This Row],[deliveryPost]],SUM(N1326:P1326))</f>
        <v>420</v>
      </c>
      <c r="R1326" s="41">
        <v>420</v>
      </c>
      <c r="S1326" s="46">
        <f>ТабПозиции[[#This Row],[totalSumm]]-ТабПозиции[[#This Row],[payment]]</f>
        <v>0</v>
      </c>
      <c r="T1326" s="18" t="s">
        <v>970</v>
      </c>
      <c r="U1326" s="40" t="s">
        <v>545</v>
      </c>
      <c r="V1326" s="40" t="str">
        <f>IF(AND(ТабПозиции[[#This Row],[Остаток]]=0,ТабПозиции[[#This Row],[Заказан]]="Да"),"Да","Нет")</f>
        <v>Да</v>
      </c>
      <c r="W1326" s="40" t="str">
        <f>IF(AND(ТабПозиции[[#This Row],[Остаток]]=0,ТабПозиции[[#This Row],[Заказан]]="Да"),"Да","Нет")</f>
        <v>Да</v>
      </c>
      <c r="X1326" s="3"/>
      <c r="Y1326"/>
    </row>
    <row r="1327" spans="1:25" hidden="1" x14ac:dyDescent="0.25">
      <c r="A1327" s="10">
        <v>344</v>
      </c>
      <c r="B1327" s="1">
        <f>IFERROR(VLOOKUP(ТабПозиции[[#This Row],[orderNum]],ТабЗаказы[#Data],MATCH(B$7,ТабЗаказы[#Headers],0),0),"")</f>
        <v>45612</v>
      </c>
      <c r="C1327" t="str">
        <f>MONTH(ТабПозиции[[#This Row],[date]])&amp;"/"&amp;YEAR(ТабПозиции[[#This Row],[date]])</f>
        <v>11/2024</v>
      </c>
      <c r="D1327" s="1" t="str">
        <f>IFERROR(VLOOKUP(ТабПозиции[[#This Row],[orderNum]],ТабЗаказы[#Data],MATCH(D$7,ТабЗаказы[#Headers],0),0),"")</f>
        <v/>
      </c>
      <c r="E1327" s="1" t="str">
        <f>IFERROR(VLOOKUP(ТабПозиции[[#This Row],[orderNum]],ТабЗаказы[#Data],MATCH(E$7,ТабЗаказы[#Headers],0),0),"")</f>
        <v/>
      </c>
      <c r="F1327" s="16" t="s">
        <v>766</v>
      </c>
      <c r="G1327" s="40" t="s">
        <v>545</v>
      </c>
      <c r="I1327" s="18">
        <v>45622</v>
      </c>
      <c r="J1327" s="10">
        <v>1</v>
      </c>
      <c r="K1327" s="10">
        <v>507</v>
      </c>
      <c r="L1327">
        <f>ТабПозиции[[#This Row],[discountPrice]]*ТабПозиции[[#This Row],[quantity]]</f>
        <v>507</v>
      </c>
      <c r="M1327" s="10">
        <v>554</v>
      </c>
      <c r="N1327">
        <f t="shared" si="25"/>
        <v>554</v>
      </c>
      <c r="P13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Row],[orderNum]],ТабПозиции[orderSumm])&gt;1500),ABS(N1327*VLOOKUP(ТабПозиции[[#This Row],[orderNum]],ТабЗаказы[#Data],MATCH("Percent",ТабЗаказы[#Headers],0),0))/100,200/COUNTIF(ТабПозиции[orderNum],ТабПозиции[[#This Row],[orderNum]])),0),"")</f>
        <v>83</v>
      </c>
      <c r="Q1327">
        <f>IF(OR(ТабПозиции[[#This Row],[item]]="По штрихкоду",ТабПозиции[[#This Row],[item]]="Посылка"),ТабПозиции[[#This Row],[deliverySumm]]+ТабПозиции[[#This Row],[deliveryPost]],SUM(N1327:P1327))</f>
        <v>637</v>
      </c>
      <c r="R1327" s="41">
        <v>637</v>
      </c>
      <c r="S1327" s="46">
        <f>ТабПозиции[[#This Row],[totalSumm]]-ТабПозиции[[#This Row],[payment]]</f>
        <v>0</v>
      </c>
      <c r="T1327" s="18" t="s">
        <v>960</v>
      </c>
      <c r="U1327" s="40" t="s">
        <v>545</v>
      </c>
      <c r="V1327" s="40" t="str">
        <f>IF(AND(ТабПозиции[[#This Row],[Остаток]]=0,ТабПозиции[[#This Row],[Заказан]]="Да"),"Да","Нет")</f>
        <v>Да</v>
      </c>
      <c r="W1327" s="40" t="str">
        <f>IF(AND(ТабПозиции[[#This Row],[Остаток]]=0,ТабПозиции[[#This Row],[Заказан]]="Да"),"Да","Нет")</f>
        <v>Да</v>
      </c>
      <c r="X1327" s="3"/>
      <c r="Y1327"/>
    </row>
    <row r="1328" spans="1:25" hidden="1" x14ac:dyDescent="0.25">
      <c r="A1328" s="10">
        <v>356</v>
      </c>
      <c r="B1328" s="1">
        <f>IFERROR(VLOOKUP(ТабПозиции[[#This Row],[orderNum]],ТабЗаказы[#Data],MATCH(B$7,ТабЗаказы[#Headers],0),0),"")</f>
        <v>45622</v>
      </c>
      <c r="C1328" t="str">
        <f>MONTH(ТабПозиции[[#This Row],[date]])&amp;"/"&amp;YEAR(ТабПозиции[[#This Row],[date]])</f>
        <v>11/2024</v>
      </c>
      <c r="D1328" s="1" t="str">
        <f>IFERROR(VLOOKUP(ТабПозиции[[#This Row],[orderNum]],ТабЗаказы[#Data],MATCH(D$7,ТабЗаказы[#Headers],0),0),"")</f>
        <v/>
      </c>
      <c r="E1328" s="1" t="str">
        <f>IFERROR(VLOOKUP(ТабПозиции[[#This Row],[orderNum]],ТабЗаказы[#Data],MATCH(E$7,ТабЗаказы[#Headers],0),0),"")</f>
        <v/>
      </c>
      <c r="F1328" s="16" t="s">
        <v>1860</v>
      </c>
      <c r="G1328" s="40" t="s">
        <v>545</v>
      </c>
      <c r="I1328" s="18">
        <v>45624</v>
      </c>
      <c r="J1328" s="10">
        <v>1</v>
      </c>
      <c r="K1328" s="10">
        <v>692</v>
      </c>
      <c r="L1328">
        <f>ТабПозиции[[#This Row],[discountPrice]]*ТабПозиции[[#This Row],[quantity]]</f>
        <v>692</v>
      </c>
      <c r="M1328" s="10">
        <v>742</v>
      </c>
      <c r="N1328">
        <f t="shared" si="25"/>
        <v>742</v>
      </c>
      <c r="P13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Row],[orderNum]],ТабПозиции[orderSumm])&gt;1500),ABS(N1328*VLOOKUP(ТабПозиции[[#This Row],[orderNum]],ТабЗаказы[#Data],MATCH("Percent",ТабЗаказы[#Headers],0),0))/100,200/COUNTIF(ТабПозиции[orderNum],ТабПозиции[[#This Row],[orderNum]])),0),"")</f>
        <v>111</v>
      </c>
      <c r="Q1328">
        <f>IF(OR(ТабПозиции[[#This Row],[item]]="По штрихкоду",ТабПозиции[[#This Row],[item]]="Посылка"),ТабПозиции[[#This Row],[deliverySumm]]+ТабПозиции[[#This Row],[deliveryPost]],SUM(N1328:P1328))</f>
        <v>853</v>
      </c>
      <c r="R1328" s="41">
        <v>853</v>
      </c>
      <c r="S1328" s="46">
        <f>ТабПозиции[[#This Row],[totalSumm]]-ТабПозиции[[#This Row],[payment]]</f>
        <v>0</v>
      </c>
      <c r="T1328" s="18" t="s">
        <v>960</v>
      </c>
      <c r="U1328" s="40" t="s">
        <v>545</v>
      </c>
      <c r="V1328" s="40" t="str">
        <f>IF(AND(ТабПозиции[[#This Row],[Остаток]]=0,ТабПозиции[[#This Row],[Заказан]]="Да"),"Да","Нет")</f>
        <v>Да</v>
      </c>
      <c r="W1328" s="40" t="str">
        <f>IF(AND(ТабПозиции[[#This Row],[Остаток]]=0,ТабПозиции[[#This Row],[Заказан]]="Да"),"Да","Нет")</f>
        <v>Да</v>
      </c>
      <c r="X1328" s="3"/>
      <c r="Y1328"/>
    </row>
    <row r="1329" spans="1:25" hidden="1" x14ac:dyDescent="0.25">
      <c r="A1329" s="10">
        <v>356</v>
      </c>
      <c r="B1329" s="1">
        <f>IFERROR(VLOOKUP(ТабПозиции[[#This Row],[orderNum]],ТабЗаказы[#Data],MATCH(B$7,ТабЗаказы[#Headers],0),0),"")</f>
        <v>45622</v>
      </c>
      <c r="C1329" t="str">
        <f>MONTH(ТабПозиции[[#This Row],[date]])&amp;"/"&amp;YEAR(ТабПозиции[[#This Row],[date]])</f>
        <v>11/2024</v>
      </c>
      <c r="D1329" s="1" t="str">
        <f>IFERROR(VLOOKUP(ТабПозиции[[#This Row],[orderNum]],ТабЗаказы[#Data],MATCH(D$7,ТабЗаказы[#Headers],0),0),"")</f>
        <v/>
      </c>
      <c r="E1329" s="1" t="str">
        <f>IFERROR(VLOOKUP(ТабПозиции[[#This Row],[orderNum]],ТабЗаказы[#Data],MATCH(E$7,ТабЗаказы[#Headers],0),0),"")</f>
        <v/>
      </c>
      <c r="F1329" s="16" t="s">
        <v>1716</v>
      </c>
      <c r="G1329" s="40" t="s">
        <v>545</v>
      </c>
      <c r="I1329" s="18">
        <v>45628</v>
      </c>
      <c r="J1329" s="10">
        <v>1</v>
      </c>
      <c r="K1329" s="10">
        <v>1310</v>
      </c>
      <c r="L1329">
        <f>ТабПозиции[[#This Row],[discountPrice]]*ТабПозиции[[#This Row],[quantity]]</f>
        <v>1310</v>
      </c>
      <c r="M1329" s="10">
        <v>1407</v>
      </c>
      <c r="N1329">
        <f t="shared" si="25"/>
        <v>1407</v>
      </c>
      <c r="P13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Row],[orderNum]],ТабПозиции[orderSumm])&gt;1500),ABS(N1329*VLOOKUP(ТабПозиции[[#This Row],[orderNum]],ТабЗаказы[#Data],MATCH("Percent",ТабЗаказы[#Headers],0),0))/100,200/COUNTIF(ТабПозиции[orderNum],ТабПозиции[[#This Row],[orderNum]])),0),"")</f>
        <v>211</v>
      </c>
      <c r="Q1329">
        <f>IF(OR(ТабПозиции[[#This Row],[item]]="По штрихкоду",ТабПозиции[[#This Row],[item]]="Посылка"),ТабПозиции[[#This Row],[deliverySumm]]+ТабПозиции[[#This Row],[deliveryPost]],SUM(N1329:P1329))</f>
        <v>1618</v>
      </c>
      <c r="R1329" s="41">
        <v>1618</v>
      </c>
      <c r="S1329" s="46">
        <f>ТабПозиции[[#This Row],[totalSumm]]-ТабПозиции[[#This Row],[payment]]</f>
        <v>0</v>
      </c>
      <c r="T1329" s="18" t="s">
        <v>960</v>
      </c>
      <c r="U1329" s="40" t="s">
        <v>545</v>
      </c>
      <c r="V1329" s="40" t="str">
        <f>IF(AND(ТабПозиции[[#This Row],[Остаток]]=0,ТабПозиции[[#This Row],[Заказан]]="Да"),"Да","Нет")</f>
        <v>Да</v>
      </c>
      <c r="W1329" s="40" t="str">
        <f>IF(AND(ТабПозиции[[#This Row],[Остаток]]=0,ТабПозиции[[#This Row],[Заказан]]="Да"),"Да","Нет")</f>
        <v>Да</v>
      </c>
      <c r="X1329" s="3"/>
      <c r="Y1329"/>
    </row>
    <row r="1330" spans="1:25" hidden="1" x14ac:dyDescent="0.25">
      <c r="A1330" s="10">
        <v>356</v>
      </c>
      <c r="B1330" s="1">
        <f>IFERROR(VLOOKUP(ТабПозиции[[#This Row],[orderNum]],ТабЗаказы[#Data],MATCH(B$7,ТабЗаказы[#Headers],0),0),"")</f>
        <v>45622</v>
      </c>
      <c r="C1330" t="str">
        <f>MONTH(ТабПозиции[[#This Row],[date]])&amp;"/"&amp;YEAR(ТабПозиции[[#This Row],[date]])</f>
        <v>11/2024</v>
      </c>
      <c r="D1330" s="1" t="str">
        <f>IFERROR(VLOOKUP(ТабПозиции[[#This Row],[orderNum]],ТабЗаказы[#Data],MATCH(D$7,ТабЗаказы[#Headers],0),0),"")</f>
        <v/>
      </c>
      <c r="E1330" s="1" t="str">
        <f>IFERROR(VLOOKUP(ТабПозиции[[#This Row],[orderNum]],ТабЗаказы[#Data],MATCH(E$7,ТабЗаказы[#Headers],0),0),"")</f>
        <v/>
      </c>
      <c r="F1330" s="16" t="s">
        <v>1861</v>
      </c>
      <c r="G1330" s="40" t="s">
        <v>545</v>
      </c>
      <c r="I1330" s="18">
        <v>45624</v>
      </c>
      <c r="J1330" s="10">
        <v>1</v>
      </c>
      <c r="K1330" s="10">
        <v>631</v>
      </c>
      <c r="L1330">
        <f>ТабПозиции[[#This Row],[discountPrice]]*ТабПозиции[[#This Row],[quantity]]</f>
        <v>631</v>
      </c>
      <c r="M1330" s="10">
        <v>676</v>
      </c>
      <c r="N1330">
        <f t="shared" si="25"/>
        <v>676</v>
      </c>
      <c r="P13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Row],[orderNum]],ТабПозиции[orderSumm])&gt;1500),ABS(N1330*VLOOKUP(ТабПозиции[[#This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1330">
        <f>IF(OR(ТабПозиции[[#This Row],[item]]="По штрихкоду",ТабПозиции[[#This Row],[item]]="Посылка"),ТабПозиции[[#This Row],[deliverySumm]]+ТабПозиции[[#This Row],[deliveryPost]],SUM(N1330:P1330))</f>
        <v>777</v>
      </c>
      <c r="R1330" s="41">
        <v>777</v>
      </c>
      <c r="S1330" s="46">
        <f>ТабПозиции[[#This Row],[totalSumm]]-ТабПозиции[[#This Row],[payment]]</f>
        <v>0</v>
      </c>
      <c r="T1330" s="18" t="s">
        <v>960</v>
      </c>
      <c r="U1330" s="40" t="s">
        <v>545</v>
      </c>
      <c r="V1330" s="40" t="str">
        <f>IF(AND(ТабПозиции[[#This Row],[Остаток]]=0,ТабПозиции[[#This Row],[Заказан]]="Да"),"Да","Нет")</f>
        <v>Да</v>
      </c>
      <c r="W1330" s="40" t="str">
        <f>IF(AND(ТабПозиции[[#This Row],[Остаток]]=0,ТабПозиции[[#This Row],[Заказан]]="Да"),"Да","Нет")</f>
        <v>Да</v>
      </c>
      <c r="X1330" s="3"/>
      <c r="Y1330"/>
    </row>
    <row r="1331" spans="1:25" hidden="1" x14ac:dyDescent="0.25">
      <c r="A1331" s="10">
        <v>357</v>
      </c>
      <c r="B1331" s="1">
        <f>IFERROR(VLOOKUP(ТабПозиции[[#This Row],[orderNum]],ТабЗаказы[#Data],MATCH(B$7,ТабЗаказы[#Headers],0),0),"")</f>
        <v>45622</v>
      </c>
      <c r="C1331" t="str">
        <f>MONTH(ТабПозиции[[#This Row],[date]])&amp;"/"&amp;YEAR(ТабПозиции[[#This Row],[date]])</f>
        <v>11/2024</v>
      </c>
      <c r="D1331" s="1" t="str">
        <f>IFERROR(VLOOKUP(ТабПозиции[[#This Row],[orderNum]],ТабЗаказы[#Data],MATCH(D$7,ТабЗаказы[#Headers],0),0),"")</f>
        <v/>
      </c>
      <c r="E1331" s="1" t="str">
        <f>IFERROR(VLOOKUP(ТабПозиции[[#This Row],[orderNum]],ТабЗаказы[#Data],MATCH(E$7,ТабЗаказы[#Headers],0),0),"")</f>
        <v/>
      </c>
      <c r="F1331" s="16" t="s">
        <v>1866</v>
      </c>
      <c r="G1331" s="40" t="s">
        <v>545</v>
      </c>
      <c r="I1331" s="18">
        <v>45624</v>
      </c>
      <c r="J1331" s="10">
        <v>1</v>
      </c>
      <c r="K1331" s="10">
        <v>25227</v>
      </c>
      <c r="L1331">
        <f>ТабПозиции[[#This Row],[discountPrice]]*ТабПозиции[[#This Row],[quantity]]</f>
        <v>25227</v>
      </c>
      <c r="M1331" s="10">
        <v>26472</v>
      </c>
      <c r="N1331">
        <f t="shared" si="25"/>
        <v>26472</v>
      </c>
      <c r="P13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Row],[orderNum]],ТабПозиции[orderSumm])&gt;1500),ABS(N1331*VLOOKUP(ТабПозиции[[#This Row],[orderNum]],ТабЗаказы[#Data],MATCH("Percent",ТабЗаказы[#Headers],0),0))/100,200/COUNTIF(ТабПозиции[orderNum],ТабПозиции[[#This Row],[orderNum]])),0),"")</f>
        <v>2647</v>
      </c>
      <c r="Q1331">
        <f>IF(OR(ТабПозиции[[#This Row],[item]]="По штрихкоду",ТабПозиции[[#This Row],[item]]="Посылка"),ТабПозиции[[#This Row],[deliverySumm]]+ТабПозиции[[#This Row],[deliveryPost]],SUM(N1331:P1331))</f>
        <v>29119</v>
      </c>
      <c r="R1331" s="41">
        <v>29119</v>
      </c>
      <c r="S1331" s="46">
        <f>ТабПозиции[[#This Row],[totalSumm]]-ТабПозиции[[#This Row],[payment]]</f>
        <v>0</v>
      </c>
      <c r="T1331" s="18" t="s">
        <v>960</v>
      </c>
      <c r="U1331" s="40" t="s">
        <v>545</v>
      </c>
      <c r="V1331" s="40" t="str">
        <f>IF(AND(ТабПозиции[[#This Row],[Остаток]]=0,ТабПозиции[[#This Row],[Заказан]]="Да"),"Да","Нет")</f>
        <v>Да</v>
      </c>
      <c r="W1331" s="40" t="str">
        <f>IF(AND(ТабПозиции[[#This Row],[Остаток]]=0,ТабПозиции[[#This Row],[Заказан]]="Да"),"Да","Нет")</f>
        <v>Да</v>
      </c>
      <c r="X1331" s="3"/>
      <c r="Y1331"/>
    </row>
    <row r="1332" spans="1:25" hidden="1" x14ac:dyDescent="0.25">
      <c r="A1332" s="10">
        <v>358</v>
      </c>
      <c r="B1332" s="1">
        <f>IFERROR(VLOOKUP(ТабПозиции[[#This Row],[orderNum]],ТабЗаказы[#Data],MATCH(B$7,ТабЗаказы[#Headers],0),0),"")</f>
        <v>45622</v>
      </c>
      <c r="C1332" t="str">
        <f>MONTH(ТабПозиции[[#This Row],[date]])&amp;"/"&amp;YEAR(ТабПозиции[[#This Row],[date]])</f>
        <v>11/2024</v>
      </c>
      <c r="D1332" s="1" t="str">
        <f>IFERROR(VLOOKUP(ТабПозиции[[#This Row],[orderNum]],ТабЗаказы[#Data],MATCH(D$7,ТабЗаказы[#Headers],0),0),"")</f>
        <v/>
      </c>
      <c r="E1332" s="1" t="str">
        <f>IFERROR(VLOOKUP(ТабПозиции[[#This Row],[orderNum]],ТабЗаказы[#Data],MATCH(E$7,ТабЗаказы[#Headers],0),0),"")</f>
        <v/>
      </c>
      <c r="F1332" s="16" t="s">
        <v>1867</v>
      </c>
      <c r="G1332" s="40" t="s">
        <v>545</v>
      </c>
      <c r="I1332" s="18">
        <v>45624</v>
      </c>
      <c r="J1332" s="10">
        <v>1</v>
      </c>
      <c r="K1332" s="10">
        <v>538</v>
      </c>
      <c r="L1332">
        <f>ТабПозиции[[#This Row],[discountPrice]]*ТабПозиции[[#This Row],[quantity]]</f>
        <v>538</v>
      </c>
      <c r="M1332" s="10">
        <v>538</v>
      </c>
      <c r="N1332">
        <f t="shared" si="25"/>
        <v>538</v>
      </c>
      <c r="P13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Row],[orderNum]],ТабПозиции[orderSumm])&gt;1500),ABS(N1332*VLOOKUP(ТабПозиции[[#This Row],[orderNum]],ТабЗаказы[#Data],MATCH("Percent",ТабЗаказы[#Headers],0),0))/100,200/COUNTIF(ТабПозиции[orderNum],ТабПозиции[[#This Row],[orderNum]])),0),"")</f>
        <v>81</v>
      </c>
      <c r="Q1332">
        <f>IF(OR(ТабПозиции[[#This Row],[item]]="По штрихкоду",ТабПозиции[[#This Row],[item]]="Посылка"),ТабПозиции[[#This Row],[deliverySumm]]+ТабПозиции[[#This Row],[deliveryPost]],SUM(N1332:P1332))</f>
        <v>619</v>
      </c>
      <c r="R1332" s="41">
        <v>619</v>
      </c>
      <c r="S1332" s="46">
        <f>ТабПозиции[[#This Row],[totalSumm]]-ТабПозиции[[#This Row],[payment]]</f>
        <v>0</v>
      </c>
      <c r="T1332" s="18" t="s">
        <v>970</v>
      </c>
      <c r="U1332" s="40" t="s">
        <v>545</v>
      </c>
      <c r="V1332" s="40" t="str">
        <f>IF(AND(ТабПозиции[[#This Row],[Остаток]]=0,ТабПозиции[[#This Row],[Заказан]]="Да"),"Да","Нет")</f>
        <v>Да</v>
      </c>
      <c r="W1332" s="40" t="str">
        <f>IF(AND(ТабПозиции[[#This Row],[Остаток]]=0,ТабПозиции[[#This Row],[Заказан]]="Да"),"Да","Нет")</f>
        <v>Да</v>
      </c>
      <c r="X1332" s="3"/>
      <c r="Y1332"/>
    </row>
    <row r="1333" spans="1:25" hidden="1" x14ac:dyDescent="0.25">
      <c r="A1333" s="10">
        <v>358</v>
      </c>
      <c r="B1333" s="1">
        <f>IFERROR(VLOOKUP(ТабПозиции[[#This Row],[orderNum]],ТабЗаказы[#Data],MATCH(B$7,ТабЗаказы[#Headers],0),0),"")</f>
        <v>45622</v>
      </c>
      <c r="C1333" t="str">
        <f>MONTH(ТабПозиции[[#This Row],[date]])&amp;"/"&amp;YEAR(ТабПозиции[[#This Row],[date]])</f>
        <v>11/2024</v>
      </c>
      <c r="D1333" s="1" t="str">
        <f>IFERROR(VLOOKUP(ТабПозиции[[#This Row],[orderNum]],ТабЗаказы[#Data],MATCH(D$7,ТабЗаказы[#Headers],0),0),"")</f>
        <v/>
      </c>
      <c r="E1333" s="1" t="str">
        <f>IFERROR(VLOOKUP(ТабПозиции[[#This Row],[orderNum]],ТабЗаказы[#Data],MATCH(E$7,ТабЗаказы[#Headers],0),0),"")</f>
        <v/>
      </c>
      <c r="F1333" s="16" t="s">
        <v>1868</v>
      </c>
      <c r="G1333" s="40" t="s">
        <v>545</v>
      </c>
      <c r="I1333" s="18">
        <v>45624</v>
      </c>
      <c r="J1333" s="10">
        <v>1</v>
      </c>
      <c r="K1333" s="10">
        <v>789</v>
      </c>
      <c r="L1333">
        <f>ТабПозиции[[#This Row],[discountPrice]]*ТабПозиции[[#This Row],[quantity]]</f>
        <v>789</v>
      </c>
      <c r="M1333" s="10">
        <v>789</v>
      </c>
      <c r="N1333">
        <f t="shared" si="25"/>
        <v>789</v>
      </c>
      <c r="P13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Row],[orderNum]],ТабПозиции[orderSumm])&gt;1500),ABS(N1333*VLOOKUP(ТабПозиции[[#This Row],[orderNum]],ТабЗаказы[#Data],MATCH("Percent",ТабЗаказы[#Headers],0),0))/100,200/COUNTIF(ТабПозиции[orderNum],ТабПозиции[[#This Row],[orderNum]])),0),"")</f>
        <v>118</v>
      </c>
      <c r="Q1333">
        <f>IF(OR(ТабПозиции[[#This Row],[item]]="По штрихкоду",ТабПозиции[[#This Row],[item]]="Посылка"),ТабПозиции[[#This Row],[deliverySumm]]+ТабПозиции[[#This Row],[deliveryPost]],SUM(N1333:P1333))</f>
        <v>907</v>
      </c>
      <c r="R1333" s="41">
        <v>907</v>
      </c>
      <c r="S1333" s="46">
        <f>ТабПозиции[[#This Row],[totalSumm]]-ТабПозиции[[#This Row],[payment]]</f>
        <v>0</v>
      </c>
      <c r="T1333" s="18" t="s">
        <v>970</v>
      </c>
      <c r="U1333" s="40" t="s">
        <v>545</v>
      </c>
      <c r="V1333" s="40" t="str">
        <f>IF(AND(ТабПозиции[[#This Row],[Остаток]]=0,ТабПозиции[[#This Row],[Заказан]]="Да"),"Да","Нет")</f>
        <v>Да</v>
      </c>
      <c r="W1333" s="40" t="str">
        <f>IF(AND(ТабПозиции[[#This Row],[Остаток]]=0,ТабПозиции[[#This Row],[Заказан]]="Да"),"Да","Нет")</f>
        <v>Да</v>
      </c>
      <c r="X1333" s="3"/>
      <c r="Y1333"/>
    </row>
    <row r="1334" spans="1:25" hidden="1" x14ac:dyDescent="0.25">
      <c r="A1334" s="10">
        <v>358</v>
      </c>
      <c r="B1334" s="1">
        <f>IFERROR(VLOOKUP(ТабПозиции[[#This Row],[orderNum]],ТабЗаказы[#Data],MATCH(B$7,ТабЗаказы[#Headers],0),0),"")</f>
        <v>45622</v>
      </c>
      <c r="C1334" t="str">
        <f>MONTH(ТабПозиции[[#This Row],[date]])&amp;"/"&amp;YEAR(ТабПозиции[[#This Row],[date]])</f>
        <v>11/2024</v>
      </c>
      <c r="D1334" s="1" t="str">
        <f>IFERROR(VLOOKUP(ТабПозиции[[#This Row],[orderNum]],ТабЗаказы[#Data],MATCH(D$7,ТабЗаказы[#Headers],0),0),"")</f>
        <v/>
      </c>
      <c r="E1334" s="1" t="str">
        <f>IFERROR(VLOOKUP(ТабПозиции[[#This Row],[orderNum]],ТабЗаказы[#Data],MATCH(E$7,ТабЗаказы[#Headers],0),0),"")</f>
        <v/>
      </c>
      <c r="F1334" s="16" t="s">
        <v>1869</v>
      </c>
      <c r="G1334" s="40" t="s">
        <v>545</v>
      </c>
      <c r="I1334" s="18">
        <v>45626</v>
      </c>
      <c r="J1334" s="10">
        <v>1</v>
      </c>
      <c r="K1334" s="10">
        <v>305</v>
      </c>
      <c r="L1334">
        <f>ТабПозиции[[#This Row],[discountPrice]]*ТабПозиции[[#This Row],[quantity]]</f>
        <v>305</v>
      </c>
      <c r="M1334" s="10">
        <v>305</v>
      </c>
      <c r="N1334">
        <f t="shared" si="25"/>
        <v>305</v>
      </c>
      <c r="P13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Row],[orderNum]],ТабПозиции[orderSumm])&gt;1500),ABS(N1334*VLOOKUP(ТабПозиции[[#This Row],[orderNum]],ТабЗаказы[#Data],MATCH("Percent",ТабЗаказы[#Headers],0),0))/100,200/COUNTIF(ТабПозиции[orderNum],ТабПозиции[[#This Row],[orderNum]])),0),"")</f>
        <v>46</v>
      </c>
      <c r="Q1334">
        <f>IF(OR(ТабПозиции[[#This Row],[item]]="По штрихкоду",ТабПозиции[[#This Row],[item]]="Посылка"),ТабПозиции[[#This Row],[deliverySumm]]+ТабПозиции[[#This Row],[deliveryPost]],SUM(N1334:P1334))</f>
        <v>351</v>
      </c>
      <c r="R1334" s="41">
        <v>351</v>
      </c>
      <c r="S1334" s="46">
        <f>ТабПозиции[[#This Row],[totalSumm]]-ТабПозиции[[#This Row],[payment]]</f>
        <v>0</v>
      </c>
      <c r="T1334" s="18" t="s">
        <v>970</v>
      </c>
      <c r="U1334" s="40" t="s">
        <v>545</v>
      </c>
      <c r="V1334" s="40" t="str">
        <f>IF(AND(ТабПозиции[[#This Row],[Остаток]]=0,ТабПозиции[[#This Row],[Заказан]]="Да"),"Да","Нет")</f>
        <v>Да</v>
      </c>
      <c r="W1334" s="40" t="str">
        <f>IF(AND(ТабПозиции[[#This Row],[Остаток]]=0,ТабПозиции[[#This Row],[Заказан]]="Да"),"Да","Нет")</f>
        <v>Да</v>
      </c>
      <c r="X1334" s="3"/>
      <c r="Y1334"/>
    </row>
    <row r="1335" spans="1:25" hidden="1" x14ac:dyDescent="0.25">
      <c r="A1335" s="10">
        <v>358</v>
      </c>
      <c r="B1335" s="1">
        <f>IFERROR(VLOOKUP(ТабПозиции[[#This Row],[orderNum]],ТабЗаказы[#Data],MATCH(B$7,ТабЗаказы[#Headers],0),0),"")</f>
        <v>45622</v>
      </c>
      <c r="C1335" t="str">
        <f>MONTH(ТабПозиции[[#This Row],[date]])&amp;"/"&amp;YEAR(ТабПозиции[[#This Row],[date]])</f>
        <v>11/2024</v>
      </c>
      <c r="D1335" s="1" t="str">
        <f>IFERROR(VLOOKUP(ТабПозиции[[#This Row],[orderNum]],ТабЗаказы[#Data],MATCH(D$7,ТабЗаказы[#Headers],0),0),"")</f>
        <v/>
      </c>
      <c r="E1335" s="1" t="str">
        <f>IFERROR(VLOOKUP(ТабПозиции[[#This Row],[orderNum]],ТабЗаказы[#Data],MATCH(E$7,ТабЗаказы[#Headers],0),0),"")</f>
        <v/>
      </c>
      <c r="F1335" s="16" t="s">
        <v>1870</v>
      </c>
      <c r="G1335" s="40" t="s">
        <v>545</v>
      </c>
      <c r="I1335" s="18">
        <v>45625</v>
      </c>
      <c r="J1335" s="10">
        <v>1</v>
      </c>
      <c r="K1335" s="10">
        <v>193</v>
      </c>
      <c r="L1335">
        <f>ТабПозиции[[#This Row],[discountPrice]]*ТабПозиции[[#This Row],[quantity]]</f>
        <v>193</v>
      </c>
      <c r="M1335" s="10">
        <v>193</v>
      </c>
      <c r="N1335">
        <f t="shared" si="25"/>
        <v>193</v>
      </c>
      <c r="P13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Row],[orderNum]],ТабПозиции[orderSumm])&gt;1500),ABS(N1335*VLOOKUP(ТабПозиции[[#This Row],[orderNum]],ТабЗаказы[#Data],MATCH("Percent",ТабЗаказы[#Headers],0),0))/100,200/COUNTIF(ТабПозиции[orderNum],ТабПозиции[[#This Row],[orderNum]])),0),"")</f>
        <v>29</v>
      </c>
      <c r="Q1335">
        <f>IF(OR(ТабПозиции[[#This Row],[item]]="По штрихкоду",ТабПозиции[[#This Row],[item]]="Посылка"),ТабПозиции[[#This Row],[deliverySumm]]+ТабПозиции[[#This Row],[deliveryPost]],SUM(N1335:P1335))</f>
        <v>222</v>
      </c>
      <c r="R1335" s="41">
        <v>222</v>
      </c>
      <c r="S1335" s="46">
        <f>ТабПозиции[[#This Row],[totalSumm]]-ТабПозиции[[#This Row],[payment]]</f>
        <v>0</v>
      </c>
      <c r="T1335" s="18" t="s">
        <v>970</v>
      </c>
      <c r="U1335" s="40" t="s">
        <v>545</v>
      </c>
      <c r="V1335" s="40" t="str">
        <f>IF(AND(ТабПозиции[[#This Row],[Остаток]]=0,ТабПозиции[[#This Row],[Заказан]]="Да"),"Да","Нет")</f>
        <v>Да</v>
      </c>
      <c r="W1335" s="40" t="str">
        <f>IF(AND(ТабПозиции[[#This Row],[Остаток]]=0,ТабПозиции[[#This Row],[Заказан]]="Да"),"Да","Нет")</f>
        <v>Да</v>
      </c>
      <c r="X1335" s="3"/>
      <c r="Y1335"/>
    </row>
    <row r="1336" spans="1:25" hidden="1" x14ac:dyDescent="0.25">
      <c r="A1336" s="10">
        <v>358</v>
      </c>
      <c r="B1336" s="1">
        <f>IFERROR(VLOOKUP(ТабПозиции[[#This Row],[orderNum]],ТабЗаказы[#Data],MATCH(B$7,ТабЗаказы[#Headers],0),0),"")</f>
        <v>45622</v>
      </c>
      <c r="C1336" t="str">
        <f>MONTH(ТабПозиции[[#This Row],[date]])&amp;"/"&amp;YEAR(ТабПозиции[[#This Row],[date]])</f>
        <v>11/2024</v>
      </c>
      <c r="D1336" s="1" t="str">
        <f>IFERROR(VLOOKUP(ТабПозиции[[#This Row],[orderNum]],ТабЗаказы[#Data],MATCH(D$7,ТабЗаказы[#Headers],0),0),"")</f>
        <v/>
      </c>
      <c r="E1336" s="1" t="str">
        <f>IFERROR(VLOOKUP(ТабПозиции[[#This Row],[orderNum]],ТабЗаказы[#Data],MATCH(E$7,ТабЗаказы[#Headers],0),0),"")</f>
        <v/>
      </c>
      <c r="F1336" s="16" t="s">
        <v>1857</v>
      </c>
      <c r="G1336" s="40" t="s">
        <v>545</v>
      </c>
      <c r="I1336" s="18">
        <v>45624</v>
      </c>
      <c r="J1336" s="10">
        <v>1</v>
      </c>
      <c r="K1336" s="10">
        <v>463</v>
      </c>
      <c r="L1336">
        <f>ТабПозиции[[#This Row],[discountPrice]]*ТабПозиции[[#This Row],[quantity]]</f>
        <v>463</v>
      </c>
      <c r="M1336" s="10">
        <v>463</v>
      </c>
      <c r="N1336">
        <f t="shared" si="25"/>
        <v>463</v>
      </c>
      <c r="P13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Row],[orderNum]],ТабПозиции[orderSumm])&gt;1500),ABS(N1336*VLOOKUP(ТабПозиции[[#This Row],[orderNum]],ТабЗаказы[#Data],MATCH("Percent",ТабЗаказы[#Headers],0),0))/100,200/COUNTIF(ТабПозиции[orderNum],ТабПозиции[[#This Row],[orderNum]])),0),"")</f>
        <v>69</v>
      </c>
      <c r="Q1336">
        <f>IF(OR(ТабПозиции[[#This Row],[item]]="По штрихкоду",ТабПозиции[[#This Row],[item]]="Посылка"),ТабПозиции[[#This Row],[deliverySumm]]+ТабПозиции[[#This Row],[deliveryPost]],SUM(N1336:P1336))</f>
        <v>532</v>
      </c>
      <c r="R1336" s="41">
        <v>532</v>
      </c>
      <c r="S1336" s="46">
        <f>ТабПозиции[[#This Row],[totalSumm]]-ТабПозиции[[#This Row],[payment]]</f>
        <v>0</v>
      </c>
      <c r="T1336" s="18" t="s">
        <v>970</v>
      </c>
      <c r="U1336" s="40" t="s">
        <v>545</v>
      </c>
      <c r="V1336" s="40" t="str">
        <f>IF(AND(ТабПозиции[[#This Row],[Остаток]]=0,ТабПозиции[[#This Row],[Заказан]]="Да"),"Да","Нет")</f>
        <v>Да</v>
      </c>
      <c r="W1336" s="40" t="str">
        <f>IF(AND(ТабПозиции[[#This Row],[Остаток]]=0,ТабПозиции[[#This Row],[Заказан]]="Да"),"Да","Нет")</f>
        <v>Да</v>
      </c>
      <c r="X1336" s="3"/>
      <c r="Y1336"/>
    </row>
    <row r="1337" spans="1:25" hidden="1" x14ac:dyDescent="0.25">
      <c r="A1337" s="10">
        <v>358</v>
      </c>
      <c r="B1337" s="1">
        <f>IFERROR(VLOOKUP(ТабПозиции[[#This Row],[orderNum]],ТабЗаказы[#Data],MATCH(B$7,ТабЗаказы[#Headers],0),0),"")</f>
        <v>45622</v>
      </c>
      <c r="C1337" t="str">
        <f>MONTH(ТабПозиции[[#This Row],[date]])&amp;"/"&amp;YEAR(ТабПозиции[[#This Row],[date]])</f>
        <v>11/2024</v>
      </c>
      <c r="D1337" s="1" t="str">
        <f>IFERROR(VLOOKUP(ТабПозиции[[#This Row],[orderNum]],ТабЗаказы[#Data],MATCH(D$7,ТабЗаказы[#Headers],0),0),"")</f>
        <v/>
      </c>
      <c r="E1337" s="1" t="str">
        <f>IFERROR(VLOOKUP(ТабПозиции[[#This Row],[orderNum]],ТабЗаказы[#Data],MATCH(E$7,ТабЗаказы[#Headers],0),0),"")</f>
        <v/>
      </c>
      <c r="F1337" s="16" t="s">
        <v>1871</v>
      </c>
      <c r="G1337" s="40" t="s">
        <v>545</v>
      </c>
      <c r="I1337" s="18">
        <v>45624</v>
      </c>
      <c r="J1337" s="10">
        <v>1</v>
      </c>
      <c r="K1337" s="10">
        <v>247</v>
      </c>
      <c r="L1337">
        <f>ТабПозиции[[#This Row],[discountPrice]]*ТабПозиции[[#This Row],[quantity]]</f>
        <v>247</v>
      </c>
      <c r="M1337" s="10">
        <v>247</v>
      </c>
      <c r="N1337">
        <f t="shared" si="25"/>
        <v>247</v>
      </c>
      <c r="P13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Row],[orderNum]],ТабПозиции[orderSumm])&gt;1500),ABS(N1337*VLOOKUP(ТабПозиции[[#This Row],[orderNum]],ТабЗаказы[#Data],MATCH("Percent",ТабЗаказы[#Headers],0),0))/100,200/COUNTIF(ТабПозиции[orderNum],ТабПозиции[[#This Row],[orderNum]])),0),"")</f>
        <v>37</v>
      </c>
      <c r="Q1337">
        <f>IF(OR(ТабПозиции[[#This Row],[item]]="По штрихкоду",ТабПозиции[[#This Row],[item]]="Посылка"),ТабПозиции[[#This Row],[deliverySumm]]+ТабПозиции[[#This Row],[deliveryPost]],SUM(N1337:P1337))</f>
        <v>284</v>
      </c>
      <c r="R1337" s="41">
        <v>284</v>
      </c>
      <c r="S1337" s="46">
        <f>ТабПозиции[[#This Row],[totalSumm]]-ТабПозиции[[#This Row],[payment]]</f>
        <v>0</v>
      </c>
      <c r="T1337" s="18" t="s">
        <v>970</v>
      </c>
      <c r="U1337" s="40" t="s">
        <v>545</v>
      </c>
      <c r="V1337" s="40" t="str">
        <f>IF(AND(ТабПозиции[[#This Row],[Остаток]]=0,ТабПозиции[[#This Row],[Заказан]]="Да"),"Да","Нет")</f>
        <v>Да</v>
      </c>
      <c r="W1337" s="40" t="str">
        <f>IF(AND(ТабПозиции[[#This Row],[Остаток]]=0,ТабПозиции[[#This Row],[Заказан]]="Да"),"Да","Нет")</f>
        <v>Да</v>
      </c>
      <c r="X1337" s="3"/>
      <c r="Y1337"/>
    </row>
    <row r="1338" spans="1:25" hidden="1" x14ac:dyDescent="0.25">
      <c r="A1338" s="10">
        <v>358</v>
      </c>
      <c r="B1338" s="1">
        <f>IFERROR(VLOOKUP(ТабПозиции[[#This Row],[orderNum]],ТабЗаказы[#Data],MATCH(B$7,ТабЗаказы[#Headers],0),0),"")</f>
        <v>45622</v>
      </c>
      <c r="C1338" t="str">
        <f>MONTH(ТабПозиции[[#This Row],[date]])&amp;"/"&amp;YEAR(ТабПозиции[[#This Row],[date]])</f>
        <v>11/2024</v>
      </c>
      <c r="D1338" s="1" t="str">
        <f>IFERROR(VLOOKUP(ТабПозиции[[#This Row],[orderNum]],ТабЗаказы[#Data],MATCH(D$7,ТабЗаказы[#Headers],0),0),"")</f>
        <v/>
      </c>
      <c r="E1338" s="1" t="str">
        <f>IFERROR(VLOOKUP(ТабПозиции[[#This Row],[orderNum]],ТабЗаказы[#Data],MATCH(E$7,ТабЗаказы[#Headers],0),0),"")</f>
        <v/>
      </c>
      <c r="F1338" s="16" t="s">
        <v>806</v>
      </c>
      <c r="G1338" s="40" t="s">
        <v>545</v>
      </c>
      <c r="I1338" s="18">
        <v>45624</v>
      </c>
      <c r="J1338" s="10">
        <v>1</v>
      </c>
      <c r="K1338" s="10">
        <v>104</v>
      </c>
      <c r="L1338">
        <f>ТабПозиции[[#This Row],[discountPrice]]*ТабПозиции[[#This Row],[quantity]]</f>
        <v>104</v>
      </c>
      <c r="M1338" s="10">
        <v>104</v>
      </c>
      <c r="N1338">
        <f t="shared" si="25"/>
        <v>104</v>
      </c>
      <c r="P13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Row],[orderNum]],ТабПозиции[orderSumm])&gt;1500),ABS(N1338*VLOOKUP(ТабПозиции[[#This Row],[orderNum]],ТабЗаказы[#Data],MATCH("Percent",ТабЗаказы[#Headers],0),0))/100,200/COUNTIF(ТабПозиции[orderNum],ТабПозиции[[#This Row],[orderNum]])),0),"")</f>
        <v>16</v>
      </c>
      <c r="Q1338">
        <f>IF(OR(ТабПозиции[[#This Row],[item]]="По штрихкоду",ТабПозиции[[#This Row],[item]]="Посылка"),ТабПозиции[[#This Row],[deliverySumm]]+ТабПозиции[[#This Row],[deliveryPost]],SUM(N1338:P1338))</f>
        <v>120</v>
      </c>
      <c r="R1338" s="41">
        <v>120</v>
      </c>
      <c r="S1338" s="46">
        <f>ТабПозиции[[#This Row],[totalSumm]]-ТабПозиции[[#This Row],[payment]]</f>
        <v>0</v>
      </c>
      <c r="T1338" s="18" t="s">
        <v>970</v>
      </c>
      <c r="U1338" s="40" t="s">
        <v>545</v>
      </c>
      <c r="V1338" s="40" t="str">
        <f>IF(AND(ТабПозиции[[#This Row],[Остаток]]=0,ТабПозиции[[#This Row],[Заказан]]="Да"),"Да","Нет")</f>
        <v>Да</v>
      </c>
      <c r="W1338" s="40" t="str">
        <f>IF(AND(ТабПозиции[[#This Row],[Остаток]]=0,ТабПозиции[[#This Row],[Заказан]]="Да"),"Да","Нет")</f>
        <v>Да</v>
      </c>
      <c r="X1338" s="3"/>
      <c r="Y1338"/>
    </row>
    <row r="1339" spans="1:25" hidden="1" x14ac:dyDescent="0.25">
      <c r="A1339" s="10">
        <v>359</v>
      </c>
      <c r="B1339" s="1">
        <f>IFERROR(VLOOKUP(ТабПозиции[[#This Row],[orderNum]],ТабЗаказы[#Data],MATCH(B$7,ТабЗаказы[#Headers],0),0),"")</f>
        <v>45624</v>
      </c>
      <c r="C1339" t="str">
        <f>MONTH(ТабПозиции[[#This Row],[date]])&amp;"/"&amp;YEAR(ТабПозиции[[#This Row],[date]])</f>
        <v>11/2024</v>
      </c>
      <c r="D1339" s="1" t="str">
        <f>IFERROR(VLOOKUP(ТабПозиции[[#This Row],[orderNum]],ТабЗаказы[#Data],MATCH(D$7,ТабЗаказы[#Headers],0),0),"")</f>
        <v/>
      </c>
      <c r="E1339" s="1" t="str">
        <f>IFERROR(VLOOKUP(ТабПозиции[[#This Row],[orderNum]],ТабЗаказы[#Data],MATCH(E$7,ТабЗаказы[#Headers],0),0),"")</f>
        <v/>
      </c>
      <c r="F1339" s="16" t="s">
        <v>815</v>
      </c>
      <c r="G1339" s="40" t="s">
        <v>545</v>
      </c>
      <c r="I1339" s="18">
        <v>45626</v>
      </c>
      <c r="J1339" s="10">
        <v>1</v>
      </c>
      <c r="K1339" s="10">
        <v>12620</v>
      </c>
      <c r="L1339">
        <f>ТабПозиции[[#This Row],[discountPrice]]*ТабПозиции[[#This Row],[quantity]]</f>
        <v>12620</v>
      </c>
      <c r="M1339" s="10">
        <v>13285</v>
      </c>
      <c r="N1339">
        <f t="shared" si="25"/>
        <v>13285</v>
      </c>
      <c r="P13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Row],[orderNum]],ТабПозиции[orderSumm])&gt;1500),ABS(N1339*VLOOKUP(ТабПозиции[[#This Row],[orderNum]],ТабЗаказы[#Data],MATCH("Percent",ТабЗаказы[#Headers],0),0))/100,200/COUNTIF(ТабПозиции[orderNum],ТабПозиции[[#This Row],[orderNum]])),0),"")</f>
        <v>1329</v>
      </c>
      <c r="Q1339">
        <f>IF(OR(ТабПозиции[[#This Row],[item]]="По штрихкоду",ТабПозиции[[#This Row],[item]]="Посылка"),ТабПозиции[[#This Row],[deliverySumm]]+ТабПозиции[[#This Row],[deliveryPost]],SUM(N1339:P1339))</f>
        <v>14614</v>
      </c>
      <c r="R1339" s="41">
        <v>14614</v>
      </c>
      <c r="S1339" s="46">
        <f>ТабПозиции[[#This Row],[totalSumm]]-ТабПозиции[[#This Row],[payment]]</f>
        <v>0</v>
      </c>
      <c r="T1339" s="18" t="s">
        <v>970</v>
      </c>
      <c r="U1339" s="40" t="s">
        <v>545</v>
      </c>
      <c r="V1339" s="40" t="str">
        <f>IF(AND(ТабПозиции[[#This Row],[Остаток]]=0,ТабПозиции[[#This Row],[Заказан]]="Да"),"Да","Нет")</f>
        <v>Да</v>
      </c>
      <c r="W1339" s="40" t="str">
        <f>IF(AND(ТабПозиции[[#This Row],[Остаток]]=0,ТабПозиции[[#This Row],[Заказан]]="Да"),"Да","Нет")</f>
        <v>Да</v>
      </c>
      <c r="X1339" s="3"/>
      <c r="Y1339"/>
    </row>
    <row r="1340" spans="1:25" hidden="1" x14ac:dyDescent="0.25">
      <c r="A1340" s="10">
        <v>360</v>
      </c>
      <c r="B1340" s="1">
        <f>IFERROR(VLOOKUP(ТабПозиции[[#This Row],[orderNum]],ТабЗаказы[#Data],MATCH(B$7,ТабЗаказы[#Headers],0),0),"")</f>
        <v>45624</v>
      </c>
      <c r="C1340" t="str">
        <f>MONTH(ТабПозиции[[#This Row],[date]])&amp;"/"&amp;YEAR(ТабПозиции[[#This Row],[date]])</f>
        <v>11/2024</v>
      </c>
      <c r="D1340" s="1" t="str">
        <f>IFERROR(VLOOKUP(ТабПозиции[[#This Row],[orderNum]],ТабЗаказы[#Data],MATCH(D$7,ТабЗаказы[#Headers],0),0),"")</f>
        <v/>
      </c>
      <c r="E1340" s="1" t="str">
        <f>IFERROR(VLOOKUP(ТабПозиции[[#This Row],[orderNum]],ТабЗаказы[#Data],MATCH(E$7,ТабЗаказы[#Headers],0),0),"")</f>
        <v/>
      </c>
      <c r="F1340" s="16" t="s">
        <v>1153</v>
      </c>
      <c r="G1340" s="40" t="s">
        <v>545</v>
      </c>
      <c r="I1340" s="18">
        <v>45628</v>
      </c>
      <c r="J1340" s="10">
        <v>1</v>
      </c>
      <c r="K1340" s="10">
        <v>1691</v>
      </c>
      <c r="L1340">
        <f>ТабПозиции[[#This Row],[discountPrice]]*ТабПозиции[[#This Row],[quantity]]</f>
        <v>1691</v>
      </c>
      <c r="M1340" s="10">
        <v>1785</v>
      </c>
      <c r="N1340">
        <f t="shared" si="25"/>
        <v>1785</v>
      </c>
      <c r="P13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Row],[orderNum]],ТабПозиции[orderSumm])&gt;1500),ABS(N1340*VLOOKUP(ТабПозиции[[#This Row],[orderNum]],ТабЗаказы[#Data],MATCH("Percent",ТабЗаказы[#Headers],0),0))/100,200/COUNTIF(ТабПозиции[orderNum],ТабПозиции[[#This Row],[orderNum]])),0),"")</f>
        <v>179</v>
      </c>
      <c r="Q1340">
        <f>IF(OR(ТабПозиции[[#This Row],[item]]="По штрихкоду",ТабПозиции[[#This Row],[item]]="Посылка"),ТабПозиции[[#This Row],[deliverySumm]]+ТабПозиции[[#This Row],[deliveryPost]],SUM(N1340:P1340))</f>
        <v>1964</v>
      </c>
      <c r="R1340" s="41">
        <v>1964</v>
      </c>
      <c r="S1340" s="46">
        <f>ТабПозиции[[#This Row],[totalSumm]]-ТабПозиции[[#This Row],[payment]]</f>
        <v>0</v>
      </c>
      <c r="T1340" s="18" t="s">
        <v>960</v>
      </c>
      <c r="U1340" s="40" t="s">
        <v>545</v>
      </c>
      <c r="V1340" s="40" t="str">
        <f>IF(AND(ТабПозиции[[#This Row],[Остаток]]=0,ТабПозиции[[#This Row],[Заказан]]="Да"),"Да","Нет")</f>
        <v>Да</v>
      </c>
      <c r="W1340" s="40" t="str">
        <f>IF(AND(ТабПозиции[[#This Row],[Остаток]]=0,ТабПозиции[[#This Row],[Заказан]]="Да"),"Да","Нет")</f>
        <v>Да</v>
      </c>
      <c r="X1340" s="3"/>
      <c r="Y1340"/>
    </row>
    <row r="1341" spans="1:25" hidden="1" x14ac:dyDescent="0.25">
      <c r="A1341" s="10">
        <v>360</v>
      </c>
      <c r="B1341" s="1">
        <f>IFERROR(VLOOKUP(ТабПозиции[[#This Row],[orderNum]],ТабЗаказы[#Data],MATCH(B$7,ТабЗаказы[#Headers],0),0),"")</f>
        <v>45624</v>
      </c>
      <c r="C1341" t="str">
        <f>MONTH(ТабПозиции[[#This Row],[date]])&amp;"/"&amp;YEAR(ТабПозиции[[#This Row],[date]])</f>
        <v>11/2024</v>
      </c>
      <c r="D1341" s="1" t="str">
        <f>IFERROR(VLOOKUP(ТабПозиции[[#This Row],[orderNum]],ТабЗаказы[#Data],MATCH(D$7,ТабЗаказы[#Headers],0),0),"")</f>
        <v/>
      </c>
      <c r="E1341" s="1" t="str">
        <f>IFERROR(VLOOKUP(ТабПозиции[[#This Row],[orderNum]],ТабЗаказы[#Data],MATCH(E$7,ТабЗаказы[#Headers],0),0),"")</f>
        <v/>
      </c>
      <c r="F1341" s="16" t="s">
        <v>1876</v>
      </c>
      <c r="G1341" s="40" t="s">
        <v>545</v>
      </c>
      <c r="I1341" s="18">
        <v>45626</v>
      </c>
      <c r="J1341" s="10">
        <v>2</v>
      </c>
      <c r="K1341" s="10">
        <v>224</v>
      </c>
      <c r="L1341">
        <f>ТабПозиции[[#This Row],[discountPrice]]*ТабПозиции[[#This Row],[quantity]]</f>
        <v>448</v>
      </c>
      <c r="M1341" s="10">
        <v>229</v>
      </c>
      <c r="N1341">
        <f t="shared" si="25"/>
        <v>458</v>
      </c>
      <c r="P13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Row],[orderNum]],ТабПозиции[orderSumm])&gt;1500),ABS(N1341*VLOOKUP(ТабПозиции[[#This Row],[orderNum]],ТабЗаказы[#Data],MATCH("Percent",ТабЗаказы[#Headers],0),0))/100,200/COUNTIF(ТабПозиции[orderNum],ТабПозиции[[#This Row],[orderNum]])),0),"")</f>
        <v>46</v>
      </c>
      <c r="Q1341">
        <f>IF(OR(ТабПозиции[[#This Row],[item]]="По штрихкоду",ТабПозиции[[#This Row],[item]]="Посылка"),ТабПозиции[[#This Row],[deliverySumm]]+ТабПозиции[[#This Row],[deliveryPost]],SUM(N1341:P1341))</f>
        <v>504</v>
      </c>
      <c r="R1341" s="41">
        <v>504</v>
      </c>
      <c r="S1341" s="46">
        <f>ТабПозиции[[#This Row],[totalSumm]]-ТабПозиции[[#This Row],[payment]]</f>
        <v>0</v>
      </c>
      <c r="T1341" s="18" t="s">
        <v>960</v>
      </c>
      <c r="U1341" s="40" t="s">
        <v>545</v>
      </c>
      <c r="V1341" s="40" t="str">
        <f>IF(AND(ТабПозиции[[#This Row],[Остаток]]=0,ТабПозиции[[#This Row],[Заказан]]="Да"),"Да","Нет")</f>
        <v>Да</v>
      </c>
      <c r="W1341" s="40" t="str">
        <f>IF(AND(ТабПозиции[[#This Row],[Остаток]]=0,ТабПозиции[[#This Row],[Заказан]]="Да"),"Да","Нет")</f>
        <v>Да</v>
      </c>
      <c r="X1341" s="3"/>
      <c r="Y1341"/>
    </row>
    <row r="1342" spans="1:25" hidden="1" x14ac:dyDescent="0.25">
      <c r="A1342" s="10">
        <v>360</v>
      </c>
      <c r="B1342" s="1">
        <f>IFERROR(VLOOKUP(ТабПозиции[[#This Row],[orderNum]],ТабЗаказы[#Data],MATCH(B$7,ТабЗаказы[#Headers],0),0),"")</f>
        <v>45624</v>
      </c>
      <c r="C1342" t="str">
        <f>MONTH(ТабПозиции[[#This Row],[date]])&amp;"/"&amp;YEAR(ТабПозиции[[#This Row],[date]])</f>
        <v>11/2024</v>
      </c>
      <c r="D1342" s="1" t="str">
        <f>IFERROR(VLOOKUP(ТабПозиции[[#This Row],[orderNum]],ТабЗаказы[#Data],MATCH(D$7,ТабЗаказы[#Headers],0),0),"")</f>
        <v/>
      </c>
      <c r="E1342" s="1" t="str">
        <f>IFERROR(VLOOKUP(ТабПозиции[[#This Row],[orderNum]],ТабЗаказы[#Data],MATCH(E$7,ТабЗаказы[#Headers],0),0),"")</f>
        <v/>
      </c>
      <c r="F1342" s="16" t="s">
        <v>1877</v>
      </c>
      <c r="G1342" s="40" t="s">
        <v>545</v>
      </c>
      <c r="I1342" s="18">
        <v>45626</v>
      </c>
      <c r="J1342" s="10">
        <v>1</v>
      </c>
      <c r="K1342" s="10">
        <v>399</v>
      </c>
      <c r="L1342">
        <f>ТабПозиции[[#This Row],[discountPrice]]*ТабПозиции[[#This Row],[quantity]]</f>
        <v>399</v>
      </c>
      <c r="M1342" s="10">
        <v>423</v>
      </c>
      <c r="N1342">
        <f t="shared" si="25"/>
        <v>423</v>
      </c>
      <c r="P13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Row],[orderNum]],ТабПозиции[orderSumm])&gt;1500),ABS(N1342*VLOOKUP(ТабПозиции[[#This Row],[orderNum]],ТабЗаказы[#Data],MATCH("Percent",ТабЗаказы[#Headers],0),0))/100,200/COUNTIF(ТабПозиции[orderNum],ТабПозиции[[#This Row],[orderNum]])),0),"")</f>
        <v>42</v>
      </c>
      <c r="Q1342">
        <f>IF(OR(ТабПозиции[[#This Row],[item]]="По штрихкоду",ТабПозиции[[#This Row],[item]]="Посылка"),ТабПозиции[[#This Row],[deliverySumm]]+ТабПозиции[[#This Row],[deliveryPost]],SUM(N1342:P1342))</f>
        <v>465</v>
      </c>
      <c r="R1342" s="41">
        <v>465</v>
      </c>
      <c r="S1342" s="46">
        <f>ТабПозиции[[#This Row],[totalSumm]]-ТабПозиции[[#This Row],[payment]]</f>
        <v>0</v>
      </c>
      <c r="T1342" s="18" t="s">
        <v>960</v>
      </c>
      <c r="U1342" s="40" t="s">
        <v>545</v>
      </c>
      <c r="V1342" s="40" t="str">
        <f>IF(AND(ТабПозиции[[#This Row],[Остаток]]=0,ТабПозиции[[#This Row],[Заказан]]="Да"),"Да","Нет")</f>
        <v>Да</v>
      </c>
      <c r="W1342" s="40" t="str">
        <f>IF(AND(ТабПозиции[[#This Row],[Остаток]]=0,ТабПозиции[[#This Row],[Заказан]]="Да"),"Да","Нет")</f>
        <v>Да</v>
      </c>
      <c r="X1342" s="3"/>
      <c r="Y1342"/>
    </row>
    <row r="1343" spans="1:25" hidden="1" x14ac:dyDescent="0.25">
      <c r="A1343" s="10">
        <v>360</v>
      </c>
      <c r="B1343" s="1">
        <f>IFERROR(VLOOKUP(ТабПозиции[[#This Row],[orderNum]],ТабЗаказы[#Data],MATCH(B$7,ТабЗаказы[#Headers],0),0),"")</f>
        <v>45624</v>
      </c>
      <c r="C1343" t="str">
        <f>MONTH(ТабПозиции[[#This Row],[date]])&amp;"/"&amp;YEAR(ТабПозиции[[#This Row],[date]])</f>
        <v>11/2024</v>
      </c>
      <c r="D1343" s="1" t="str">
        <f>IFERROR(VLOOKUP(ТабПозиции[[#This Row],[orderNum]],ТабЗаказы[#Data],MATCH(D$7,ТабЗаказы[#Headers],0),0),"")</f>
        <v/>
      </c>
      <c r="E1343" s="1" t="str">
        <f>IFERROR(VLOOKUP(ТабПозиции[[#This Row],[orderNum]],ТабЗаказы[#Data],MATCH(E$7,ТабЗаказы[#Headers],0),0),"")</f>
        <v/>
      </c>
      <c r="F1343" s="16" t="s">
        <v>633</v>
      </c>
      <c r="G1343" s="40" t="s">
        <v>545</v>
      </c>
      <c r="I1343" s="18">
        <v>45628</v>
      </c>
      <c r="J1343" s="10">
        <v>1</v>
      </c>
      <c r="K1343" s="10">
        <v>815</v>
      </c>
      <c r="L1343">
        <f>ТабПозиции[[#This Row],[discountPrice]]*ТабПозиции[[#This Row],[quantity]]</f>
        <v>815</v>
      </c>
      <c r="M1343" s="10">
        <v>861</v>
      </c>
      <c r="N1343">
        <f t="shared" si="25"/>
        <v>861</v>
      </c>
      <c r="P13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Row],[orderNum]],ТабПозиции[orderSumm])&gt;1500),ABS(N1343*VLOOKUP(ТабПозиции[[#This Row],[orderNum]],ТабЗаказы[#Data],MATCH("Percent",ТабЗаказы[#Headers],0),0))/100,200/COUNTIF(ТабПозиции[orderNum],ТабПозиции[[#This Row],[orderNum]])),0),"")</f>
        <v>86</v>
      </c>
      <c r="Q1343">
        <f>IF(OR(ТабПозиции[[#This Row],[item]]="По штрихкоду",ТабПозиции[[#This Row],[item]]="Посылка"),ТабПозиции[[#This Row],[deliverySumm]]+ТабПозиции[[#This Row],[deliveryPost]],SUM(N1343:P1343))</f>
        <v>947</v>
      </c>
      <c r="R1343" s="41">
        <v>947</v>
      </c>
      <c r="S1343" s="46">
        <f>ТабПозиции[[#This Row],[totalSumm]]-ТабПозиции[[#This Row],[payment]]</f>
        <v>0</v>
      </c>
      <c r="T1343" s="18" t="s">
        <v>960</v>
      </c>
      <c r="U1343" s="40" t="s">
        <v>545</v>
      </c>
      <c r="V1343" s="40" t="str">
        <f>IF(AND(ТабПозиции[[#This Row],[Остаток]]=0,ТабПозиции[[#This Row],[Заказан]]="Да"),"Да","Нет")</f>
        <v>Да</v>
      </c>
      <c r="W1343" s="40" t="str">
        <f>IF(AND(ТабПозиции[[#This Row],[Остаток]]=0,ТабПозиции[[#This Row],[Заказан]]="Да"),"Да","Нет")</f>
        <v>Да</v>
      </c>
      <c r="X1343" s="3"/>
      <c r="Y1343"/>
    </row>
    <row r="1344" spans="1:25" hidden="1" x14ac:dyDescent="0.25">
      <c r="A1344" s="10">
        <v>360</v>
      </c>
      <c r="B1344" s="1">
        <f>IFERROR(VLOOKUP(ТабПозиции[[#This Row],[orderNum]],ТабЗаказы[#Data],MATCH(B$7,ТабЗаказы[#Headers],0),0),"")</f>
        <v>45624</v>
      </c>
      <c r="C1344" t="str">
        <f>MONTH(ТабПозиции[[#This Row],[date]])&amp;"/"&amp;YEAR(ТабПозиции[[#This Row],[date]])</f>
        <v>11/2024</v>
      </c>
      <c r="D1344" s="1" t="str">
        <f>IFERROR(VLOOKUP(ТабПозиции[[#This Row],[orderNum]],ТабЗаказы[#Data],MATCH(D$7,ТабЗаказы[#Headers],0),0),"")</f>
        <v/>
      </c>
      <c r="E1344" s="1" t="str">
        <f>IFERROR(VLOOKUP(ТабПозиции[[#This Row],[orderNum]],ТабЗаказы[#Data],MATCH(E$7,ТабЗаказы[#Headers],0),0),"")</f>
        <v/>
      </c>
      <c r="F1344" s="16" t="s">
        <v>1878</v>
      </c>
      <c r="G1344" s="40" t="s">
        <v>545</v>
      </c>
      <c r="I1344" s="18">
        <v>45628</v>
      </c>
      <c r="J1344" s="10">
        <v>1</v>
      </c>
      <c r="K1344" s="10">
        <v>1066</v>
      </c>
      <c r="L1344">
        <f>ТабПозиции[[#This Row],[discountPrice]]*ТабПозиции[[#This Row],[quantity]]</f>
        <v>1066</v>
      </c>
      <c r="M1344" s="10">
        <v>1099</v>
      </c>
      <c r="N1344">
        <f t="shared" si="25"/>
        <v>1099</v>
      </c>
      <c r="P13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Row],[orderNum]],ТабПозиции[orderSumm])&gt;1500),ABS(N1344*VLOOKUP(ТабПозиции[[#This Row],[orderNum]],ТабЗаказы[#Data],MATCH("Percent",ТабЗаказы[#Headers],0),0))/100,200/COUNTIF(ТабПозиции[orderNum],ТабПозиции[[#This Row],[orderNum]])),0),"")</f>
        <v>110</v>
      </c>
      <c r="Q1344">
        <f>IF(OR(ТабПозиции[[#This Row],[item]]="По штрихкоду",ТабПозиции[[#This Row],[item]]="Посылка"),ТабПозиции[[#This Row],[deliverySumm]]+ТабПозиции[[#This Row],[deliveryPost]],SUM(N1344:P1344))</f>
        <v>1209</v>
      </c>
      <c r="R1344" s="41">
        <v>1209</v>
      </c>
      <c r="S1344" s="46">
        <f>ТабПозиции[[#This Row],[totalSumm]]-ТабПозиции[[#This Row],[payment]]</f>
        <v>0</v>
      </c>
      <c r="T1344" s="18" t="s">
        <v>960</v>
      </c>
      <c r="U1344" s="40" t="s">
        <v>545</v>
      </c>
      <c r="V1344" s="40" t="str">
        <f>IF(AND(ТабПозиции[[#This Row],[Остаток]]=0,ТабПозиции[[#This Row],[Заказан]]="Да"),"Да","Нет")</f>
        <v>Да</v>
      </c>
      <c r="W1344" s="40" t="str">
        <f>IF(AND(ТабПозиции[[#This Row],[Остаток]]=0,ТабПозиции[[#This Row],[Заказан]]="Да"),"Да","Нет")</f>
        <v>Да</v>
      </c>
      <c r="X1344" s="3"/>
      <c r="Y1344"/>
    </row>
    <row r="1345" spans="1:25" hidden="1" x14ac:dyDescent="0.25">
      <c r="A1345" s="10">
        <v>360</v>
      </c>
      <c r="B1345" s="1">
        <f>IFERROR(VLOOKUP(ТабПозиции[[#This Row],[orderNum]],ТабЗаказы[#Data],MATCH(B$7,ТабЗаказы[#Headers],0),0),"")</f>
        <v>45624</v>
      </c>
      <c r="C1345" t="str">
        <f>MONTH(ТабПозиции[[#This Row],[date]])&amp;"/"&amp;YEAR(ТабПозиции[[#This Row],[date]])</f>
        <v>11/2024</v>
      </c>
      <c r="D1345" s="1" t="str">
        <f>IFERROR(VLOOKUP(ТабПозиции[[#This Row],[orderNum]],ТабЗаказы[#Data],MATCH(D$7,ТабЗаказы[#Headers],0),0),"")</f>
        <v/>
      </c>
      <c r="E1345" s="1" t="str">
        <f>IFERROR(VLOOKUP(ТабПозиции[[#This Row],[orderNum]],ТабЗаказы[#Data],MATCH(E$7,ТабЗаказы[#Headers],0),0),"")</f>
        <v/>
      </c>
      <c r="F1345" s="16" t="s">
        <v>1879</v>
      </c>
      <c r="G1345" s="40" t="s">
        <v>545</v>
      </c>
      <c r="I1345" s="18">
        <v>45628</v>
      </c>
      <c r="J1345" s="10">
        <v>1</v>
      </c>
      <c r="K1345" s="10">
        <v>341</v>
      </c>
      <c r="L1345">
        <f>ТабПозиции[[#This Row],[discountPrice]]*ТабПозиции[[#This Row],[quantity]]</f>
        <v>341</v>
      </c>
      <c r="M1345" s="10">
        <v>348</v>
      </c>
      <c r="N1345">
        <f t="shared" si="25"/>
        <v>348</v>
      </c>
      <c r="P13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Row],[orderNum]],ТабПозиции[orderSumm])&gt;1500),ABS(N1345*VLOOKUP(ТабПозиции[[#This Row],[orderNum]],ТабЗаказы[#Data],MATCH("Percent",ТабЗаказы[#Headers],0),0))/100,200/COUNTIF(ТабПозиции[orderNum],ТабПозиции[[#This Row],[orderNum]])),0),"")</f>
        <v>35</v>
      </c>
      <c r="Q1345">
        <f>IF(OR(ТабПозиции[[#This Row],[item]]="По штрихкоду",ТабПозиции[[#This Row],[item]]="Посылка"),ТабПозиции[[#This Row],[deliverySumm]]+ТабПозиции[[#This Row],[deliveryPost]],SUM(N1345:P1345))</f>
        <v>383</v>
      </c>
      <c r="R1345" s="41">
        <v>383</v>
      </c>
      <c r="S1345" s="46">
        <f>ТабПозиции[[#This Row],[totalSumm]]-ТабПозиции[[#This Row],[payment]]</f>
        <v>0</v>
      </c>
      <c r="T1345" s="18" t="s">
        <v>960</v>
      </c>
      <c r="U1345" s="40" t="s">
        <v>545</v>
      </c>
      <c r="V1345" s="40" t="str">
        <f>IF(AND(ТабПозиции[[#This Row],[Остаток]]=0,ТабПозиции[[#This Row],[Заказан]]="Да"),"Да","Нет")</f>
        <v>Да</v>
      </c>
      <c r="W1345" s="40" t="str">
        <f>IF(AND(ТабПозиции[[#This Row],[Остаток]]=0,ТабПозиции[[#This Row],[Заказан]]="Да"),"Да","Нет")</f>
        <v>Да</v>
      </c>
      <c r="X1345" s="3"/>
      <c r="Y1345"/>
    </row>
    <row r="1346" spans="1:25" hidden="1" x14ac:dyDescent="0.25">
      <c r="A1346" s="10">
        <v>360</v>
      </c>
      <c r="B1346" s="1">
        <f>IFERROR(VLOOKUP(ТабПозиции[[#This Row],[orderNum]],ТабЗаказы[#Data],MATCH(B$7,ТабЗаказы[#Headers],0),0),"")</f>
        <v>45624</v>
      </c>
      <c r="C1346" t="str">
        <f>MONTH(ТабПозиции[[#This Row],[date]])&amp;"/"&amp;YEAR(ТабПозиции[[#This Row],[date]])</f>
        <v>11/2024</v>
      </c>
      <c r="D1346" s="1" t="str">
        <f>IFERROR(VLOOKUP(ТабПозиции[[#This Row],[orderNum]],ТабЗаказы[#Data],MATCH(D$7,ТабЗаказы[#Headers],0),0),"")</f>
        <v/>
      </c>
      <c r="E1346" s="1" t="str">
        <f>IFERROR(VLOOKUP(ТабПозиции[[#This Row],[orderNum]],ТабЗаказы[#Data],MATCH(E$7,ТабЗаказы[#Headers],0),0),"")</f>
        <v/>
      </c>
      <c r="F1346" s="16" t="s">
        <v>1880</v>
      </c>
      <c r="G1346" s="40" t="s">
        <v>545</v>
      </c>
      <c r="I1346" s="18">
        <v>45631</v>
      </c>
      <c r="J1346" s="10">
        <v>1</v>
      </c>
      <c r="K1346" s="10">
        <v>2408</v>
      </c>
      <c r="L1346">
        <f>ТабПозиции[[#This Row],[discountPrice]]*ТабПозиции[[#This Row],[quantity]]</f>
        <v>2408</v>
      </c>
      <c r="M1346" s="10">
        <v>2581</v>
      </c>
      <c r="N1346">
        <f t="shared" si="25"/>
        <v>2581</v>
      </c>
      <c r="P13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Row],[orderNum]],ТабПозиции[orderSumm])&gt;1500),ABS(N1346*VLOOKUP(ТабПозиции[[#This Row],[orderNum]],ТабЗаказы[#Data],MATCH("Percent",ТабЗаказы[#Headers],0),0))/100,200/COUNTIF(ТабПозиции[orderNum],ТабПозиции[[#This Row],[orderNum]])),0),"")</f>
        <v>258</v>
      </c>
      <c r="Q1346">
        <f>IF(OR(ТабПозиции[[#This Row],[item]]="По штрихкоду",ТабПозиции[[#This Row],[item]]="Посылка"),ТабПозиции[[#This Row],[deliverySumm]]+ТабПозиции[[#This Row],[deliveryPost]],SUM(N1346:P1346))</f>
        <v>2839</v>
      </c>
      <c r="R1346" s="41">
        <v>2839</v>
      </c>
      <c r="S1346" s="46">
        <f>ТабПозиции[[#This Row],[totalSumm]]-ТабПозиции[[#This Row],[payment]]</f>
        <v>0</v>
      </c>
      <c r="T1346" s="18" t="s">
        <v>960</v>
      </c>
      <c r="U1346" s="40" t="s">
        <v>545</v>
      </c>
      <c r="V1346" s="40" t="str">
        <f>IF(AND(ТабПозиции[[#This Row],[Остаток]]=0,ТабПозиции[[#This Row],[Заказан]]="Да"),"Да","Нет")</f>
        <v>Да</v>
      </c>
      <c r="W1346" s="40" t="str">
        <f>IF(AND(ТабПозиции[[#This Row],[Остаток]]=0,ТабПозиции[[#This Row],[Заказан]]="Да"),"Да","Нет")</f>
        <v>Да</v>
      </c>
      <c r="X1346" s="3"/>
      <c r="Y1346"/>
    </row>
    <row r="1347" spans="1:25" hidden="1" x14ac:dyDescent="0.25">
      <c r="A1347" s="10">
        <v>360</v>
      </c>
      <c r="B1347" s="1">
        <f>IFERROR(VLOOKUP(ТабПозиции[[#This Row],[orderNum]],ТабЗаказы[#Data],MATCH(B$7,ТабЗаказы[#Headers],0),0),"")</f>
        <v>45624</v>
      </c>
      <c r="C1347" t="str">
        <f>MONTH(ТабПозиции[[#This Row],[date]])&amp;"/"&amp;YEAR(ТабПозиции[[#This Row],[date]])</f>
        <v>11/2024</v>
      </c>
      <c r="D1347" s="1" t="str">
        <f>IFERROR(VLOOKUP(ТабПозиции[[#This Row],[orderNum]],ТабЗаказы[#Data],MATCH(D$7,ТабЗаказы[#Headers],0),0),"")</f>
        <v/>
      </c>
      <c r="E1347" s="1" t="str">
        <f>IFERROR(VLOOKUP(ТабПозиции[[#This Row],[orderNum]],ТабЗаказы[#Data],MATCH(E$7,ТабЗаказы[#Headers],0),0),"")</f>
        <v/>
      </c>
      <c r="F1347" s="16" t="s">
        <v>1881</v>
      </c>
      <c r="G1347" s="40" t="s">
        <v>545</v>
      </c>
      <c r="I1347" s="18">
        <v>45626</v>
      </c>
      <c r="J1347" s="10">
        <v>1</v>
      </c>
      <c r="K1347" s="10">
        <v>244</v>
      </c>
      <c r="L1347">
        <f>ТабПозиции[[#This Row],[discountPrice]]*ТабПозиции[[#This Row],[quantity]]</f>
        <v>244</v>
      </c>
      <c r="M1347" s="10">
        <v>249</v>
      </c>
      <c r="N1347">
        <f t="shared" si="25"/>
        <v>249</v>
      </c>
      <c r="P13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Row],[orderNum]],ТабПозиции[orderSumm])&gt;1500),ABS(N1347*VLOOKUP(ТабПозиции[[#This Row],[orderNum]],ТабЗаказы[#Data],MATCH("Percent",ТабЗаказы[#Headers],0),0))/100,200/COUNTIF(ТабПозиции[orderNum],ТабПозиции[[#This Row],[orderNum]])),0),"")</f>
        <v>25</v>
      </c>
      <c r="Q1347">
        <f>IF(OR(ТабПозиции[[#This Row],[item]]="По штрихкоду",ТабПозиции[[#This Row],[item]]="Посылка"),ТабПозиции[[#This Row],[deliverySumm]]+ТабПозиции[[#This Row],[deliveryPost]],SUM(N1347:P1347))</f>
        <v>274</v>
      </c>
      <c r="R1347" s="41">
        <v>274</v>
      </c>
      <c r="S1347" s="46">
        <f>ТабПозиции[[#This Row],[totalSumm]]-ТабПозиции[[#This Row],[payment]]</f>
        <v>0</v>
      </c>
      <c r="T1347" s="18" t="s">
        <v>960</v>
      </c>
      <c r="U1347" s="40" t="s">
        <v>545</v>
      </c>
      <c r="V1347" s="40" t="str">
        <f>IF(AND(ТабПозиции[[#This Row],[Остаток]]=0,ТабПозиции[[#This Row],[Заказан]]="Да"),"Да","Нет")</f>
        <v>Да</v>
      </c>
      <c r="W1347" s="40" t="str">
        <f>IF(AND(ТабПозиции[[#This Row],[Остаток]]=0,ТабПозиции[[#This Row],[Заказан]]="Да"),"Да","Нет")</f>
        <v>Да</v>
      </c>
      <c r="X1347" s="3"/>
      <c r="Y1347"/>
    </row>
    <row r="1348" spans="1:25" hidden="1" x14ac:dyDescent="0.25">
      <c r="A1348" s="10">
        <v>360</v>
      </c>
      <c r="B1348" s="1">
        <f>IFERROR(VLOOKUP(ТабПозиции[[#This Row],[orderNum]],ТабЗаказы[#Data],MATCH(B$7,ТабЗаказы[#Headers],0),0),"")</f>
        <v>45624</v>
      </c>
      <c r="C1348" t="str">
        <f>MONTH(ТабПозиции[[#This Row],[date]])&amp;"/"&amp;YEAR(ТабПозиции[[#This Row],[date]])</f>
        <v>11/2024</v>
      </c>
      <c r="D1348" s="1" t="str">
        <f>IFERROR(VLOOKUP(ТабПозиции[[#This Row],[orderNum]],ТабЗаказы[#Data],MATCH(D$7,ТабЗаказы[#Headers],0),0),"")</f>
        <v/>
      </c>
      <c r="E1348" s="1" t="str">
        <f>IFERROR(VLOOKUP(ТабПозиции[[#This Row],[orderNum]],ТабЗаказы[#Data],MATCH(E$7,ТабЗаказы[#Headers],0),0),"")</f>
        <v/>
      </c>
      <c r="F1348" s="16" t="s">
        <v>1882</v>
      </c>
      <c r="G1348" s="40" t="s">
        <v>545</v>
      </c>
      <c r="I1348" s="18">
        <v>45630</v>
      </c>
      <c r="J1348" s="10">
        <v>1</v>
      </c>
      <c r="K1348" s="10">
        <v>706</v>
      </c>
      <c r="L1348">
        <f>ТабПозиции[[#This Row],[discountPrice]]*ТабПозиции[[#This Row],[quantity]]</f>
        <v>706</v>
      </c>
      <c r="M1348" s="10">
        <v>748</v>
      </c>
      <c r="N1348">
        <f t="shared" si="25"/>
        <v>748</v>
      </c>
      <c r="P13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Row],[orderNum]],ТабПозиции[orderSumm])&gt;1500),ABS(N1348*VLOOKUP(ТабПозиции[[#This Row],[orderNum]],ТабЗаказы[#Data],MATCH("Percent",ТабЗаказы[#Headers],0),0))/100,200/COUNTIF(ТабПозиции[orderNum],ТабПозиции[[#This Row],[orderNum]])),0),"")</f>
        <v>75</v>
      </c>
      <c r="Q1348">
        <f>IF(OR(ТабПозиции[[#This Row],[item]]="По штрихкоду",ТабПозиции[[#This Row],[item]]="Посылка"),ТабПозиции[[#This Row],[deliverySumm]]+ТабПозиции[[#This Row],[deliveryPost]],SUM(N1348:P1348))</f>
        <v>823</v>
      </c>
      <c r="R1348" s="41">
        <v>823</v>
      </c>
      <c r="S1348" s="46">
        <f>ТабПозиции[[#This Row],[totalSumm]]-ТабПозиции[[#This Row],[payment]]</f>
        <v>0</v>
      </c>
      <c r="T1348" s="18" t="s">
        <v>960</v>
      </c>
      <c r="U1348" s="40" t="s">
        <v>545</v>
      </c>
      <c r="V1348" s="40" t="str">
        <f>IF(AND(ТабПозиции[[#This Row],[Остаток]]=0,ТабПозиции[[#This Row],[Заказан]]="Да"),"Да","Нет")</f>
        <v>Да</v>
      </c>
      <c r="W1348" s="40" t="str">
        <f>IF(AND(ТабПозиции[[#This Row],[Остаток]]=0,ТабПозиции[[#This Row],[Заказан]]="Да"),"Да","Нет")</f>
        <v>Да</v>
      </c>
      <c r="X1348" s="3"/>
      <c r="Y1348"/>
    </row>
    <row r="1349" spans="1:25" hidden="1" x14ac:dyDescent="0.25">
      <c r="A1349" s="10">
        <v>360</v>
      </c>
      <c r="B1349" s="1">
        <f>IFERROR(VLOOKUP(ТабПозиции[[#This Row],[orderNum]],ТабЗаказы[#Data],MATCH(B$7,ТабЗаказы[#Headers],0),0),"")</f>
        <v>45624</v>
      </c>
      <c r="C1349" t="str">
        <f>MONTH(ТабПозиции[[#This Row],[date]])&amp;"/"&amp;YEAR(ТабПозиции[[#This Row],[date]])</f>
        <v>11/2024</v>
      </c>
      <c r="D1349" s="1" t="str">
        <f>IFERROR(VLOOKUP(ТабПозиции[[#This Row],[orderNum]],ТабЗаказы[#Data],MATCH(D$7,ТабЗаказы[#Headers],0),0),"")</f>
        <v/>
      </c>
      <c r="E1349" s="1" t="str">
        <f>IFERROR(VLOOKUP(ТабПозиции[[#This Row],[orderNum]],ТабЗаказы[#Data],MATCH(E$7,ТабЗаказы[#Headers],0),0),"")</f>
        <v/>
      </c>
      <c r="F1349" s="16" t="s">
        <v>1883</v>
      </c>
      <c r="G1349" s="40" t="s">
        <v>545</v>
      </c>
      <c r="I1349" s="56">
        <v>45649</v>
      </c>
      <c r="J1349" s="10">
        <v>1</v>
      </c>
      <c r="K1349" s="10">
        <v>372</v>
      </c>
      <c r="L1349">
        <f>ТабПозиции[[#This Row],[discountPrice]]*ТабПозиции[[#This Row],[quantity]]</f>
        <v>372</v>
      </c>
      <c r="M1349" s="10">
        <v>403</v>
      </c>
      <c r="N1349">
        <f t="shared" si="25"/>
        <v>403</v>
      </c>
      <c r="P13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Row],[orderNum]],ТабПозиции[orderSumm])&gt;1500),ABS(N1349*VLOOKUP(ТабПозиции[[#This Row],[orderNum]],ТабЗаказы[#Data],MATCH("Percent",ТабЗаказы[#Headers],0),0))/100,200/COUNTIF(ТабПозиции[orderNum],ТабПозиции[[#This Row],[orderNum]])),0),"")</f>
        <v>40</v>
      </c>
      <c r="Q1349">
        <f>IF(OR(ТабПозиции[[#This Row],[item]]="По штрихкоду",ТабПозиции[[#This Row],[item]]="Посылка"),ТабПозиции[[#This Row],[deliverySumm]]+ТабПозиции[[#This Row],[deliveryPost]],SUM(N1349:P1349))</f>
        <v>443</v>
      </c>
      <c r="R1349" s="41">
        <v>443</v>
      </c>
      <c r="S1349" s="46">
        <f>ТабПозиции[[#This Row],[totalSumm]]-ТабПозиции[[#This Row],[payment]]</f>
        <v>0</v>
      </c>
      <c r="T1349" s="18" t="s">
        <v>960</v>
      </c>
      <c r="U1349" s="40" t="s">
        <v>545</v>
      </c>
      <c r="V1349" s="40" t="str">
        <f>IF(AND(ТабПозиции[[#This Row],[Остаток]]=0,ТабПозиции[[#This Row],[Заказан]]="Да"),"Да","Нет")</f>
        <v>Да</v>
      </c>
      <c r="W1349" s="40" t="s">
        <v>545</v>
      </c>
      <c r="X1349" s="3"/>
      <c r="Y1349"/>
    </row>
    <row r="1350" spans="1:25" hidden="1" x14ac:dyDescent="0.25">
      <c r="A1350" s="10">
        <v>360</v>
      </c>
      <c r="B1350" s="1">
        <f>IFERROR(VLOOKUP(ТабПозиции[[#This Row],[orderNum]],ТабЗаказы[#Data],MATCH(B$7,ТабЗаказы[#Headers],0),0),"")</f>
        <v>45624</v>
      </c>
      <c r="C1350" t="str">
        <f>MONTH(ТабПозиции[[#This Row],[date]])&amp;"/"&amp;YEAR(ТабПозиции[[#This Row],[date]])</f>
        <v>11/2024</v>
      </c>
      <c r="D1350" s="1" t="str">
        <f>IFERROR(VLOOKUP(ТабПозиции[[#This Row],[orderNum]],ТабЗаказы[#Data],MATCH(D$7,ТабЗаказы[#Headers],0),0),"")</f>
        <v/>
      </c>
      <c r="E1350" s="1" t="str">
        <f>IFERROR(VLOOKUP(ТабПозиции[[#This Row],[orderNum]],ТабЗаказы[#Data],MATCH(E$7,ТабЗаказы[#Headers],0),0),"")</f>
        <v/>
      </c>
      <c r="F1350" s="16" t="s">
        <v>1884</v>
      </c>
      <c r="G1350" s="40" t="s">
        <v>545</v>
      </c>
      <c r="I1350" s="18">
        <v>45629</v>
      </c>
      <c r="J1350" s="10">
        <v>1</v>
      </c>
      <c r="K1350" s="10">
        <v>422</v>
      </c>
      <c r="L1350">
        <f>ТабПозиции[[#This Row],[discountPrice]]*ТабПозиции[[#This Row],[quantity]]</f>
        <v>422</v>
      </c>
      <c r="M1350" s="10">
        <v>453</v>
      </c>
      <c r="N1350">
        <f t="shared" si="25"/>
        <v>453</v>
      </c>
      <c r="P13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Row],[orderNum]],ТабПозиции[orderSumm])&gt;1500),ABS(N1350*VLOOKUP(ТабПозиции[[#This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350">
        <f>IF(OR(ТабПозиции[[#This Row],[item]]="По штрихкоду",ТабПозиции[[#This Row],[item]]="Посылка"),ТабПозиции[[#This Row],[deliverySumm]]+ТабПозиции[[#This Row],[deliveryPost]],SUM(N1350:P1350))</f>
        <v>498</v>
      </c>
      <c r="R1350" s="41">
        <v>498</v>
      </c>
      <c r="S1350" s="46">
        <f>ТабПозиции[[#This Row],[totalSumm]]-ТабПозиции[[#This Row],[payment]]</f>
        <v>0</v>
      </c>
      <c r="T1350" s="18" t="s">
        <v>960</v>
      </c>
      <c r="U1350" s="40" t="s">
        <v>545</v>
      </c>
      <c r="V1350" s="40" t="str">
        <f>IF(AND(ТабПозиции[[#This Row],[Остаток]]=0,ТабПозиции[[#This Row],[Заказан]]="Да"),"Да","Нет")</f>
        <v>Да</v>
      </c>
      <c r="W1350" s="40" t="str">
        <f>IF(AND(ТабПозиции[[#This Row],[Остаток]]=0,ТабПозиции[[#This Row],[Заказан]]="Да"),"Да","Нет")</f>
        <v>Да</v>
      </c>
      <c r="X1350" s="3"/>
      <c r="Y1350"/>
    </row>
    <row r="1351" spans="1:25" hidden="1" x14ac:dyDescent="0.25">
      <c r="A1351" s="10">
        <v>360</v>
      </c>
      <c r="B1351" s="1">
        <f>IFERROR(VLOOKUP(ТабПозиции[[#This Row],[orderNum]],ТабЗаказы[#Data],MATCH(B$7,ТабЗаказы[#Headers],0),0),"")</f>
        <v>45624</v>
      </c>
      <c r="C1351" t="str">
        <f>MONTH(ТабПозиции[[#This Row],[date]])&amp;"/"&amp;YEAR(ТабПозиции[[#This Row],[date]])</f>
        <v>11/2024</v>
      </c>
      <c r="D1351" s="1" t="str">
        <f>IFERROR(VLOOKUP(ТабПозиции[[#This Row],[orderNum]],ТабЗаказы[#Data],MATCH(D$7,ТабЗаказы[#Headers],0),0),"")</f>
        <v/>
      </c>
      <c r="E1351" s="1" t="str">
        <f>IFERROR(VLOOKUP(ТабПозиции[[#This Row],[orderNum]],ТабЗаказы[#Data],MATCH(E$7,ТабЗаказы[#Headers],0),0),"")</f>
        <v/>
      </c>
      <c r="F1351" s="16" t="s">
        <v>1885</v>
      </c>
      <c r="G1351" s="40" t="s">
        <v>545</v>
      </c>
      <c r="I1351" s="18">
        <v>45626</v>
      </c>
      <c r="J1351" s="10">
        <v>1</v>
      </c>
      <c r="K1351" s="10">
        <v>624</v>
      </c>
      <c r="L1351">
        <f>ТабПозиции[[#This Row],[discountPrice]]*ТабПозиции[[#This Row],[quantity]]</f>
        <v>624</v>
      </c>
      <c r="M1351" s="10">
        <v>644</v>
      </c>
      <c r="N1351">
        <f t="shared" si="25"/>
        <v>644</v>
      </c>
      <c r="P13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Row],[orderNum]],ТабПозиции[orderSumm])&gt;1500),ABS(N1351*VLOOKUP(ТабПозиции[[#This Row],[orderNum]],ТабЗаказы[#Data],MATCH("Percent",ТабЗаказы[#Headers],0),0))/100,200/COUNTIF(ТабПозиции[orderNum],ТабПозиции[[#This Row],[orderNum]])),0),"")</f>
        <v>64</v>
      </c>
      <c r="Q1351">
        <f>IF(OR(ТабПозиции[[#This Row],[item]]="По штрихкоду",ТабПозиции[[#This Row],[item]]="Посылка"),ТабПозиции[[#This Row],[deliverySumm]]+ТабПозиции[[#This Row],[deliveryPost]],SUM(N1351:P1351))</f>
        <v>708</v>
      </c>
      <c r="R1351" s="41">
        <v>708</v>
      </c>
      <c r="S1351" s="46">
        <f>ТабПозиции[[#This Row],[totalSumm]]-ТабПозиции[[#This Row],[payment]]</f>
        <v>0</v>
      </c>
      <c r="T1351" s="18" t="s">
        <v>960</v>
      </c>
      <c r="U1351" s="40" t="s">
        <v>545</v>
      </c>
      <c r="V1351" s="40" t="str">
        <f>IF(AND(ТабПозиции[[#This Row],[Остаток]]=0,ТабПозиции[[#This Row],[Заказан]]="Да"),"Да","Нет")</f>
        <v>Да</v>
      </c>
      <c r="W1351" s="40" t="str">
        <f>IF(AND(ТабПозиции[[#This Row],[Остаток]]=0,ТабПозиции[[#This Row],[Заказан]]="Да"),"Да","Нет")</f>
        <v>Да</v>
      </c>
      <c r="X1351" s="3"/>
      <c r="Y1351"/>
    </row>
    <row r="1352" spans="1:25" hidden="1" x14ac:dyDescent="0.25">
      <c r="A1352" s="10">
        <v>361</v>
      </c>
      <c r="B1352" s="1">
        <f>IFERROR(VLOOKUP(ТабПозиции[[#This Row],[orderNum]],ТабЗаказы[#Data],MATCH(B$7,ТабЗаказы[#Headers],0),0),"")</f>
        <v>45625</v>
      </c>
      <c r="C1352" t="str">
        <f>MONTH(ТабПозиции[[#This Row],[date]])&amp;"/"&amp;YEAR(ТабПозиции[[#This Row],[date]])</f>
        <v>11/2024</v>
      </c>
      <c r="D1352" s="1" t="str">
        <f>IFERROR(VLOOKUP(ТабПозиции[[#This Row],[orderNum]],ТабЗаказы[#Data],MATCH(D$7,ТабЗаказы[#Headers],0),0),"")</f>
        <v/>
      </c>
      <c r="E1352" s="1" t="str">
        <f>IFERROR(VLOOKUP(ТабПозиции[[#This Row],[orderNum]],ТабЗаказы[#Data],MATCH(E$7,ТабЗаказы[#Headers],0),0),"")</f>
        <v/>
      </c>
      <c r="F1352" s="10" t="s">
        <v>32</v>
      </c>
      <c r="G1352" s="40" t="s">
        <v>545</v>
      </c>
      <c r="I1352" s="18">
        <v>45625</v>
      </c>
      <c r="J1352" s="10">
        <v>1</v>
      </c>
      <c r="K1352" s="10">
        <v>23000</v>
      </c>
      <c r="L1352">
        <f>ТабПозиции[[#This Row],[discountPrice]]*ТабПозиции[[#This Row],[quantity]]</f>
        <v>23000</v>
      </c>
      <c r="M1352" s="10">
        <v>23000</v>
      </c>
      <c r="N1352">
        <f t="shared" si="25"/>
        <v>23000</v>
      </c>
      <c r="P13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Row],[orderNum]],ТабПозиции[orderSumm])&gt;1500),ABS(N1352*VLOOKUP(ТабПозиции[[#This Row],[orderNum]],ТабЗаказы[#Data],MATCH("Percent",ТабЗаказы[#Headers],0),0))/100,200/COUNTIF(ТабПозиции[orderNum],ТабПозиции[[#This Row],[orderNum]])),0),"")</f>
        <v>2300</v>
      </c>
      <c r="Q1352">
        <f>IF(OR(ТабПозиции[[#This Row],[item]]="По штрихкоду",ТабПозиции[[#This Row],[item]]="Посылка"),ТабПозиции[[#This Row],[deliverySumm]]+ТабПозиции[[#This Row],[deliveryPost]],SUM(N1352:P1352))</f>
        <v>2300</v>
      </c>
      <c r="R1352" s="41">
        <v>2300</v>
      </c>
      <c r="S1352" s="46">
        <f>ТабПозиции[[#This Row],[totalSumm]]-ТабПозиции[[#This Row],[payment]]</f>
        <v>0</v>
      </c>
      <c r="T1352" s="18" t="s">
        <v>960</v>
      </c>
      <c r="U1352" s="40" t="s">
        <v>545</v>
      </c>
      <c r="V1352" s="40" t="str">
        <f>IF(AND(ТабПозиции[[#This Row],[Остаток]]=0,ТабПозиции[[#This Row],[Заказан]]="Да"),"Да","Нет")</f>
        <v>Да</v>
      </c>
      <c r="W1352" s="40" t="str">
        <f>IF(AND(ТабПозиции[[#This Row],[Остаток]]=0,ТабПозиции[[#This Row],[Заказан]]="Да"),"Да","Нет")</f>
        <v>Да</v>
      </c>
      <c r="X1352" s="3"/>
      <c r="Y1352"/>
    </row>
    <row r="1353" spans="1:25" hidden="1" x14ac:dyDescent="0.25">
      <c r="A1353" s="10">
        <v>362</v>
      </c>
      <c r="B1353" s="1">
        <f>IFERROR(VLOOKUP(ТабПозиции[[#This Row],[orderNum]],ТабЗаказы[#Data],MATCH(B$7,ТабЗаказы[#Headers],0),0),"")</f>
        <v>45625</v>
      </c>
      <c r="C1353" t="str">
        <f>MONTH(ТабПозиции[[#This Row],[date]])&amp;"/"&amp;YEAR(ТабПозиции[[#This Row],[date]])</f>
        <v>11/2024</v>
      </c>
      <c r="D1353" s="1" t="str">
        <f>IFERROR(VLOOKUP(ТабПозиции[[#This Row],[orderNum]],ТабЗаказы[#Data],MATCH(D$7,ТабЗаказы[#Headers],0),0),"")</f>
        <v/>
      </c>
      <c r="E1353" s="1" t="str">
        <f>IFERROR(VLOOKUP(ТабПозиции[[#This Row],[orderNum]],ТабЗаказы[#Data],MATCH(E$7,ТабЗаказы[#Headers],0),0),"")</f>
        <v/>
      </c>
      <c r="F1353" s="10" t="s">
        <v>32</v>
      </c>
      <c r="G1353" s="40" t="s">
        <v>545</v>
      </c>
      <c r="I1353" s="18">
        <v>45625</v>
      </c>
      <c r="J1353" s="10">
        <v>1</v>
      </c>
      <c r="K1353" s="10">
        <v>256</v>
      </c>
      <c r="L1353">
        <f>ТабПозиции[[#This Row],[discountPrice]]*ТабПозиции[[#This Row],[quantity]]</f>
        <v>256</v>
      </c>
      <c r="M1353" s="10">
        <v>256</v>
      </c>
      <c r="N1353">
        <f t="shared" si="25"/>
        <v>256</v>
      </c>
      <c r="P13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Row],[orderNum]],ТабПозиции[orderSumm])&gt;1500),ABS(N1353*VLOOKUP(ТабПозиции[[#This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353">
        <f>IF(OR(ТабПозиции[[#This Row],[item]]="По штрихкоду",ТабПозиции[[#This Row],[item]]="Посылка"),ТабПозиции[[#This Row],[deliverySumm]]+ТабПозиции[[#This Row],[deliveryPost]],SUM(N1353:P1353))</f>
        <v>200</v>
      </c>
      <c r="R1353" s="41">
        <v>200</v>
      </c>
      <c r="S1353" s="46">
        <f>ТабПозиции[[#This Row],[totalSumm]]-ТабПозиции[[#This Row],[payment]]</f>
        <v>0</v>
      </c>
      <c r="T1353" s="18" t="s">
        <v>960</v>
      </c>
      <c r="U1353" s="40" t="s">
        <v>545</v>
      </c>
      <c r="V1353" s="40" t="str">
        <f>IF(AND(ТабПозиции[[#This Row],[Остаток]]=0,ТабПозиции[[#This Row],[Заказан]]="Да"),"Да","Нет")</f>
        <v>Да</v>
      </c>
      <c r="W1353" s="40" t="str">
        <f>IF(AND(ТабПозиции[[#This Row],[Остаток]]=0,ТабПозиции[[#This Row],[Заказан]]="Да"),"Да","Нет")</f>
        <v>Да</v>
      </c>
      <c r="X1353" s="3"/>
      <c r="Y1353"/>
    </row>
    <row r="1354" spans="1:25" hidden="1" x14ac:dyDescent="0.25">
      <c r="A1354" s="10">
        <v>363</v>
      </c>
      <c r="B1354" s="1">
        <f>IFERROR(VLOOKUP(ТабПозиции[[#This Row],[orderNum]],ТабЗаказы[#Data],MATCH(B$7,ТабЗаказы[#Headers],0),0),"")</f>
        <v>45625</v>
      </c>
      <c r="C1354" t="str">
        <f>MONTH(ТабПозиции[[#This Row],[date]])&amp;"/"&amp;YEAR(ТабПозиции[[#This Row],[date]])</f>
        <v>11/2024</v>
      </c>
      <c r="D1354" s="1" t="str">
        <f>IFERROR(VLOOKUP(ТабПозиции[[#This Row],[orderNum]],ТабЗаказы[#Data],MATCH(D$7,ТабЗаказы[#Headers],0),0),"")</f>
        <v/>
      </c>
      <c r="E1354" s="1" t="str">
        <f>IFERROR(VLOOKUP(ТабПозиции[[#This Row],[orderNum]],ТабЗаказы[#Data],MATCH(E$7,ТабЗаказы[#Headers],0),0),"")</f>
        <v/>
      </c>
      <c r="F1354" s="10" t="s">
        <v>32</v>
      </c>
      <c r="G1354" s="40" t="s">
        <v>545</v>
      </c>
      <c r="I1354" s="18">
        <v>45625</v>
      </c>
      <c r="J1354" s="10">
        <v>1</v>
      </c>
      <c r="K1354" s="10">
        <v>20470</v>
      </c>
      <c r="L1354">
        <f>ТабПозиции[[#This Row],[discountPrice]]*ТабПозиции[[#This Row],[quantity]]</f>
        <v>20470</v>
      </c>
      <c r="M1354" s="10">
        <v>20470</v>
      </c>
      <c r="N1354">
        <f t="shared" si="25"/>
        <v>20470</v>
      </c>
      <c r="P13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Row],[orderNum]],ТабПозиции[orderSumm])&gt;1500),ABS(N1354*VLOOKUP(ТабПозиции[[#This Row],[orderNum]],ТабЗаказы[#Data],MATCH("Percent",ТабЗаказы[#Headers],0),0))/100,200/COUNTIF(ТабПозиции[orderNum],ТабПозиции[[#This Row],[orderNum]])),0),"")</f>
        <v>2047</v>
      </c>
      <c r="Q1354">
        <f>IF(OR(ТабПозиции[[#This Row],[item]]="По штрихкоду",ТабПозиции[[#This Row],[item]]="Посылка"),ТабПозиции[[#This Row],[deliverySumm]]+ТабПозиции[[#This Row],[deliveryPost]],SUM(N1354:P1354))</f>
        <v>2047</v>
      </c>
      <c r="R1354">
        <f>IF(OR(ТабПозиции[[#This Row],[item]]="По штрихкоду",ТабПозиции[[#This Row],[item]]="Посылка"),ТабПозиции[[#This Row],[deliverySumm]]+ТабПозиции[[#This Row],[deliveryPost]],SUM(O1354:Q1354))</f>
        <v>2047</v>
      </c>
      <c r="S1354" s="46">
        <f>ТабПозиции[[#This Row],[totalSumm]]-ТабПозиции[[#This Row],[payment]]</f>
        <v>0</v>
      </c>
      <c r="T1354" s="18" t="s">
        <v>960</v>
      </c>
      <c r="U1354" s="40" t="s">
        <v>545</v>
      </c>
      <c r="V1354" s="40" t="str">
        <f>IF(AND(ТабПозиции[[#This Row],[Остаток]]=0,ТабПозиции[[#This Row],[Заказан]]="Да"),"Да","Нет")</f>
        <v>Да</v>
      </c>
      <c r="W1354" s="40" t="str">
        <f>IF(AND(ТабПозиции[[#This Row],[Остаток]]=0,ТабПозиции[[#This Row],[Заказан]]="Да"),"Да","Нет")</f>
        <v>Да</v>
      </c>
      <c r="X1354" s="3"/>
      <c r="Y1354"/>
    </row>
    <row r="1355" spans="1:25" hidden="1" x14ac:dyDescent="0.25">
      <c r="A1355" s="10">
        <v>364</v>
      </c>
      <c r="B1355" s="1">
        <f>IFERROR(VLOOKUP(ТабПозиции[[#This Row],[orderNum]],ТабЗаказы[#Data],MATCH(B$7,ТабЗаказы[#Headers],0),0),"")</f>
        <v>45625</v>
      </c>
      <c r="C1355" t="str">
        <f>MONTH(ТабПозиции[[#This Row],[date]])&amp;"/"&amp;YEAR(ТабПозиции[[#This Row],[date]])</f>
        <v>11/2024</v>
      </c>
      <c r="D1355" s="1" t="str">
        <f>IFERROR(VLOOKUP(ТабПозиции[[#This Row],[orderNum]],ТабЗаказы[#Data],MATCH(D$7,ТабЗаказы[#Headers],0),0),"")</f>
        <v/>
      </c>
      <c r="E1355" s="1" t="str">
        <f>IFERROR(VLOOKUP(ТабПозиции[[#This Row],[orderNum]],ТабЗаказы[#Data],MATCH(E$7,ТабЗаказы[#Headers],0),0),"")</f>
        <v/>
      </c>
      <c r="F1355" s="10" t="s">
        <v>32</v>
      </c>
      <c r="G1355" s="40" t="s">
        <v>545</v>
      </c>
      <c r="I1355" s="18">
        <v>45625</v>
      </c>
      <c r="J1355" s="10">
        <v>1</v>
      </c>
      <c r="K1355" s="10">
        <v>4158</v>
      </c>
      <c r="L1355">
        <f>ТабПозиции[[#This Row],[discountPrice]]*ТабПозиции[[#This Row],[quantity]]</f>
        <v>4158</v>
      </c>
      <c r="M1355" s="10">
        <v>4158</v>
      </c>
      <c r="N1355">
        <f t="shared" ref="N1355:N1418" si="26">M1355*J1355</f>
        <v>4158</v>
      </c>
      <c r="P13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Row],[orderNum]],ТабПозиции[orderSumm])&gt;1500),ABS(N1355*VLOOKUP(ТабПозиции[[#This Row],[orderNum]],ТабЗаказы[#Data],MATCH("Percent",ТабЗаказы[#Headers],0),0))/100,200/COUNTIF(ТабПозиции[orderNum],ТабПозиции[[#This Row],[orderNum]])),0),"")</f>
        <v>624</v>
      </c>
      <c r="Q1355">
        <f>IF(OR(ТабПозиции[[#This Row],[item]]="По штрихкоду",ТабПозиции[[#This Row],[item]]="Посылка"),ТабПозиции[[#This Row],[deliverySumm]]+ТабПозиции[[#This Row],[deliveryPost]],SUM(N1355:P1355))</f>
        <v>624</v>
      </c>
      <c r="R1355" s="41">
        <v>624</v>
      </c>
      <c r="S1355" s="46">
        <f>ТабПозиции[[#This Row],[totalSumm]]-ТабПозиции[[#This Row],[payment]]</f>
        <v>0</v>
      </c>
      <c r="T1355" s="18" t="s">
        <v>960</v>
      </c>
      <c r="U1355" s="40" t="s">
        <v>545</v>
      </c>
      <c r="V1355" s="40" t="str">
        <f>IF(AND(ТабПозиции[[#This Row],[Остаток]]=0,ТабПозиции[[#This Row],[Заказан]]="Да"),"Да","Нет")</f>
        <v>Да</v>
      </c>
      <c r="W1355" s="40" t="str">
        <f>IF(AND(ТабПозиции[[#This Row],[Остаток]]=0,ТабПозиции[[#This Row],[Заказан]]="Да"),"Да","Нет")</f>
        <v>Да</v>
      </c>
      <c r="X1355" s="3"/>
      <c r="Y1355"/>
    </row>
    <row r="1356" spans="1:25" hidden="1" x14ac:dyDescent="0.25">
      <c r="A1356" s="10">
        <v>365</v>
      </c>
      <c r="B1356" s="1">
        <f>IFERROR(VLOOKUP(ТабПозиции[[#This Row],[orderNum]],ТабЗаказы[#Data],MATCH(B$7,ТабЗаказы[#Headers],0),0),"")</f>
        <v>45625</v>
      </c>
      <c r="C1356" t="str">
        <f>MONTH(ТабПозиции[[#This Row],[date]])&amp;"/"&amp;YEAR(ТабПозиции[[#This Row],[date]])</f>
        <v>11/2024</v>
      </c>
      <c r="D1356" s="1" t="str">
        <f>IFERROR(VLOOKUP(ТабПозиции[[#This Row],[orderNum]],ТабЗаказы[#Data],MATCH(D$7,ТабЗаказы[#Headers],0),0),"")</f>
        <v/>
      </c>
      <c r="E1356" s="1" t="str">
        <f>IFERROR(VLOOKUP(ТабПозиции[[#This Row],[orderNum]],ТабЗаказы[#Data],MATCH(E$7,ТабЗаказы[#Headers],0),0),"")</f>
        <v/>
      </c>
      <c r="F1356" s="16" t="s">
        <v>1898</v>
      </c>
      <c r="G1356" s="40" t="s">
        <v>545</v>
      </c>
      <c r="I1356" s="18">
        <v>45629</v>
      </c>
      <c r="J1356" s="10">
        <v>1</v>
      </c>
      <c r="K1356" s="10">
        <v>281</v>
      </c>
      <c r="L1356">
        <f>ТабПозиции[[#This Row],[discountPrice]]*ТабПозиции[[#This Row],[quantity]]</f>
        <v>281</v>
      </c>
      <c r="M1356" s="10">
        <v>287</v>
      </c>
      <c r="N1356">
        <f t="shared" si="26"/>
        <v>287</v>
      </c>
      <c r="P13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Row],[orderNum]],ТабПозиции[orderSumm])&gt;1500),ABS(N1356*VLOOKUP(ТабПозиции[[#This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356">
        <f>IF(OR(ТабПозиции[[#This Row],[item]]="По штрихкоду",ТабПозиции[[#This Row],[item]]="Посылка"),ТабПозиции[[#This Row],[deliverySumm]]+ТабПозиции[[#This Row],[deliveryPost]],SUM(N1356:P1356))</f>
        <v>330</v>
      </c>
      <c r="R1356" s="41">
        <v>330</v>
      </c>
      <c r="S1356" s="46">
        <f>ТабПозиции[[#This Row],[totalSumm]]-ТабПозиции[[#This Row],[payment]]</f>
        <v>0</v>
      </c>
      <c r="T1356" s="18" t="s">
        <v>960</v>
      </c>
      <c r="U1356" s="40" t="s">
        <v>545</v>
      </c>
      <c r="V1356" s="40" t="str">
        <f>IF(AND(ТабПозиции[[#This Row],[Остаток]]=0,ТабПозиции[[#This Row],[Заказан]]="Да"),"Да","Нет")</f>
        <v>Да</v>
      </c>
      <c r="W1356" s="40" t="str">
        <f>IF(AND(ТабПозиции[[#This Row],[Остаток]]=0,ТабПозиции[[#This Row],[Заказан]]="Да"),"Да","Нет")</f>
        <v>Да</v>
      </c>
      <c r="X1356" s="3"/>
      <c r="Y1356"/>
    </row>
    <row r="1357" spans="1:25" hidden="1" x14ac:dyDescent="0.25">
      <c r="A1357" s="10">
        <v>365</v>
      </c>
      <c r="B1357" s="1">
        <f>IFERROR(VLOOKUP(ТабПозиции[[#This Row],[orderNum]],ТабЗаказы[#Data],MATCH(B$7,ТабЗаказы[#Headers],0),0),"")</f>
        <v>45625</v>
      </c>
      <c r="C1357" t="str">
        <f>MONTH(ТабПозиции[[#This Row],[date]])&amp;"/"&amp;YEAR(ТабПозиции[[#This Row],[date]])</f>
        <v>11/2024</v>
      </c>
      <c r="D1357" s="1" t="str">
        <f>IFERROR(VLOOKUP(ТабПозиции[[#This Row],[orderNum]],ТабЗаказы[#Data],MATCH(D$7,ТабЗаказы[#Headers],0),0),"")</f>
        <v/>
      </c>
      <c r="E1357" s="1" t="str">
        <f>IFERROR(VLOOKUP(ТабПозиции[[#This Row],[orderNum]],ТабЗаказы[#Data],MATCH(E$7,ТабЗаказы[#Headers],0),0),"")</f>
        <v/>
      </c>
      <c r="F1357" s="16" t="s">
        <v>1899</v>
      </c>
      <c r="G1357" s="40" t="s">
        <v>545</v>
      </c>
      <c r="I1357" s="18">
        <v>45629</v>
      </c>
      <c r="J1357" s="10">
        <v>1</v>
      </c>
      <c r="K1357" s="10">
        <v>350</v>
      </c>
      <c r="L1357">
        <f>ТабПозиции[[#This Row],[discountPrice]]*ТабПозиции[[#This Row],[quantity]]</f>
        <v>350</v>
      </c>
      <c r="M1357" s="10">
        <v>357</v>
      </c>
      <c r="N1357">
        <f t="shared" si="26"/>
        <v>357</v>
      </c>
      <c r="P13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Row],[orderNum]],ТабПозиции[orderSumm])&gt;1500),ABS(N1357*VLOOKUP(ТабПозиции[[#This Row],[orderNum]],ТабЗаказы[#Data],MATCH("Percent",ТабЗаказы[#Headers],0),0))/100,200/COUNTIF(ТабПозиции[orderNum],ТабПозиции[[#This Row],[orderNum]])),0),"")</f>
        <v>54</v>
      </c>
      <c r="Q1357">
        <f>IF(OR(ТабПозиции[[#This Row],[item]]="По штрихкоду",ТабПозиции[[#This Row],[item]]="Посылка"),ТабПозиции[[#This Row],[deliverySumm]]+ТабПозиции[[#This Row],[deliveryPost]],SUM(N1357:P1357))</f>
        <v>411</v>
      </c>
      <c r="R1357" s="41">
        <v>411</v>
      </c>
      <c r="S1357" s="46">
        <f>ТабПозиции[[#This Row],[totalSumm]]-ТабПозиции[[#This Row],[payment]]</f>
        <v>0</v>
      </c>
      <c r="T1357" s="18" t="s">
        <v>960</v>
      </c>
      <c r="U1357" s="40" t="s">
        <v>545</v>
      </c>
      <c r="V1357" s="40" t="str">
        <f>IF(AND(ТабПозиции[[#This Row],[Остаток]]=0,ТабПозиции[[#This Row],[Заказан]]="Да"),"Да","Нет")</f>
        <v>Да</v>
      </c>
      <c r="W1357" s="40" t="str">
        <f>IF(AND(ТабПозиции[[#This Row],[Остаток]]=0,ТабПозиции[[#This Row],[Заказан]]="Да"),"Да","Нет")</f>
        <v>Да</v>
      </c>
      <c r="X1357" s="3"/>
      <c r="Y1357"/>
    </row>
    <row r="1358" spans="1:25" hidden="1" x14ac:dyDescent="0.25">
      <c r="A1358" s="10">
        <v>365</v>
      </c>
      <c r="B1358" s="1">
        <f>IFERROR(VLOOKUP(ТабПозиции[[#This Row],[orderNum]],ТабЗаказы[#Data],MATCH(B$7,ТабЗаказы[#Headers],0),0),"")</f>
        <v>45625</v>
      </c>
      <c r="C1358" t="str">
        <f>MONTH(ТабПозиции[[#This Row],[date]])&amp;"/"&amp;YEAR(ТабПозиции[[#This Row],[date]])</f>
        <v>11/2024</v>
      </c>
      <c r="D1358" s="1" t="str">
        <f>IFERROR(VLOOKUP(ТабПозиции[[#This Row],[orderNum]],ТабЗаказы[#Data],MATCH(D$7,ТабЗаказы[#Headers],0),0),"")</f>
        <v/>
      </c>
      <c r="E1358" s="1" t="str">
        <f>IFERROR(VLOOKUP(ТабПозиции[[#This Row],[orderNum]],ТабЗаказы[#Data],MATCH(E$7,ТабЗаказы[#Headers],0),0),"")</f>
        <v/>
      </c>
      <c r="F1358" s="16" t="s">
        <v>1900</v>
      </c>
      <c r="G1358" s="40" t="s">
        <v>545</v>
      </c>
      <c r="I1358" s="18">
        <v>45629</v>
      </c>
      <c r="J1358" s="10">
        <v>1</v>
      </c>
      <c r="K1358" s="10">
        <v>303</v>
      </c>
      <c r="L1358">
        <f>ТабПозиции[[#This Row],[discountPrice]]*ТабПозиции[[#This Row],[quantity]]</f>
        <v>303</v>
      </c>
      <c r="M1358" s="10">
        <v>309</v>
      </c>
      <c r="N1358">
        <f t="shared" si="26"/>
        <v>309</v>
      </c>
      <c r="P13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Row],[orderNum]],ТабПозиции[orderSumm])&gt;1500),ABS(N1358*VLOOKUP(ТабПозиции[[#This Row],[orderNum]],ТабЗаказы[#Data],MATCH("Percent",ТабЗаказы[#Headers],0),0))/100,200/COUNTIF(ТабПозиции[orderNum],ТабПозиции[[#This Row],[orderNum]])),0),"")</f>
        <v>46</v>
      </c>
      <c r="Q1358">
        <f>IF(OR(ТабПозиции[[#This Row],[item]]="По штрихкоду",ТабПозиции[[#This Row],[item]]="Посылка"),ТабПозиции[[#This Row],[deliverySumm]]+ТабПозиции[[#This Row],[deliveryPost]],SUM(N1358:P1358))</f>
        <v>355</v>
      </c>
      <c r="R1358" s="41">
        <v>355</v>
      </c>
      <c r="S1358" s="46">
        <f>ТабПозиции[[#This Row],[totalSumm]]-ТабПозиции[[#This Row],[payment]]</f>
        <v>0</v>
      </c>
      <c r="T1358" s="18" t="s">
        <v>960</v>
      </c>
      <c r="U1358" s="40" t="s">
        <v>545</v>
      </c>
      <c r="V1358" s="40" t="str">
        <f>IF(AND(ТабПозиции[[#This Row],[Остаток]]=0,ТабПозиции[[#This Row],[Заказан]]="Да"),"Да","Нет")</f>
        <v>Да</v>
      </c>
      <c r="W1358" s="40" t="str">
        <f>IF(AND(ТабПозиции[[#This Row],[Остаток]]=0,ТабПозиции[[#This Row],[Заказан]]="Да"),"Да","Нет")</f>
        <v>Да</v>
      </c>
      <c r="X1358" s="3"/>
      <c r="Y1358"/>
    </row>
    <row r="1359" spans="1:25" hidden="1" x14ac:dyDescent="0.25">
      <c r="A1359" s="10">
        <v>365</v>
      </c>
      <c r="B1359" s="1">
        <f>IFERROR(VLOOKUP(ТабПозиции[[#This Row],[orderNum]],ТабЗаказы[#Data],MATCH(B$7,ТабЗаказы[#Headers],0),0),"")</f>
        <v>45625</v>
      </c>
      <c r="C1359" t="str">
        <f>MONTH(ТабПозиции[[#This Row],[date]])&amp;"/"&amp;YEAR(ТабПозиции[[#This Row],[date]])</f>
        <v>11/2024</v>
      </c>
      <c r="D1359" s="1" t="str">
        <f>IFERROR(VLOOKUP(ТабПозиции[[#This Row],[orderNum]],ТабЗаказы[#Data],MATCH(D$7,ТабЗаказы[#Headers],0),0),"")</f>
        <v/>
      </c>
      <c r="E1359" s="1" t="str">
        <f>IFERROR(VLOOKUP(ТабПозиции[[#This Row],[orderNum]],ТабЗаказы[#Data],MATCH(E$7,ТабЗаказы[#Headers],0),0),"")</f>
        <v/>
      </c>
      <c r="F1359" s="16" t="s">
        <v>1901</v>
      </c>
      <c r="G1359" s="40" t="s">
        <v>545</v>
      </c>
      <c r="I1359" s="18">
        <v>45630</v>
      </c>
      <c r="J1359" s="10">
        <v>1</v>
      </c>
      <c r="K1359" s="10">
        <v>1244</v>
      </c>
      <c r="L1359">
        <f>ТабПозиции[[#This Row],[discountPrice]]*ТабПозиции[[#This Row],[quantity]]</f>
        <v>1244</v>
      </c>
      <c r="M1359" s="10">
        <v>1335</v>
      </c>
      <c r="N1359">
        <f t="shared" si="26"/>
        <v>1335</v>
      </c>
      <c r="P13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Row],[orderNum]],ТабПозиции[orderSumm])&gt;1500),ABS(N1359*VLOOKUP(ТабПозиции[[#This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359">
        <f>IF(OR(ТабПозиции[[#This Row],[item]]="По штрихкоду",ТабПозиции[[#This Row],[item]]="Посылка"),ТабПозиции[[#This Row],[deliverySumm]]+ТабПозиции[[#This Row],[deliveryPost]],SUM(N1359:P1359))</f>
        <v>1535</v>
      </c>
      <c r="R1359" s="41">
        <v>1535</v>
      </c>
      <c r="S1359" s="46">
        <f>ТабПозиции[[#This Row],[totalSumm]]-ТабПозиции[[#This Row],[payment]]</f>
        <v>0</v>
      </c>
      <c r="T1359" s="18" t="s">
        <v>960</v>
      </c>
      <c r="U1359" s="40" t="s">
        <v>545</v>
      </c>
      <c r="V1359" s="40" t="str">
        <f>IF(AND(ТабПозиции[[#This Row],[Остаток]]=0,ТабПозиции[[#This Row],[Заказан]]="Да"),"Да","Нет")</f>
        <v>Да</v>
      </c>
      <c r="W1359" s="40" t="str">
        <f>IF(AND(ТабПозиции[[#This Row],[Остаток]]=0,ТабПозиции[[#This Row],[Заказан]]="Да"),"Да","Нет")</f>
        <v>Да</v>
      </c>
      <c r="X1359" s="3"/>
      <c r="Y1359"/>
    </row>
    <row r="1360" spans="1:25" hidden="1" x14ac:dyDescent="0.25">
      <c r="A1360" s="10">
        <v>365</v>
      </c>
      <c r="B1360" s="1">
        <f>IFERROR(VLOOKUP(ТабПозиции[[#This Row],[orderNum]],ТабЗаказы[#Data],MATCH(B$7,ТабЗаказы[#Headers],0),0),"")</f>
        <v>45625</v>
      </c>
      <c r="C1360" t="str">
        <f>MONTH(ТабПозиции[[#This Row],[date]])&amp;"/"&amp;YEAR(ТабПозиции[[#This Row],[date]])</f>
        <v>11/2024</v>
      </c>
      <c r="D1360" s="1" t="str">
        <f>IFERROR(VLOOKUP(ТабПозиции[[#This Row],[orderNum]],ТабЗаказы[#Data],MATCH(D$7,ТабЗаказы[#Headers],0),0),"")</f>
        <v/>
      </c>
      <c r="E1360" s="1" t="str">
        <f>IFERROR(VLOOKUP(ТабПозиции[[#This Row],[orderNum]],ТабЗаказы[#Data],MATCH(E$7,ТабЗаказы[#Headers],0),0),"")</f>
        <v/>
      </c>
      <c r="F1360" s="16" t="s">
        <v>1902</v>
      </c>
      <c r="G1360" s="40" t="s">
        <v>545</v>
      </c>
      <c r="I1360" s="18">
        <v>45629</v>
      </c>
      <c r="J1360" s="10">
        <v>1</v>
      </c>
      <c r="K1360" s="10">
        <v>800</v>
      </c>
      <c r="L1360">
        <f>ТабПозиции[[#This Row],[discountPrice]]*ТабПозиции[[#This Row],[quantity]]</f>
        <v>800</v>
      </c>
      <c r="M1360" s="10">
        <v>858</v>
      </c>
      <c r="N1360">
        <f t="shared" si="26"/>
        <v>858</v>
      </c>
      <c r="P13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Row],[orderNum]],ТабПозиции[orderSumm])&gt;1500),ABS(N1360*VLOOKUP(ТабПозиции[[#This Row],[orderNum]],ТабЗаказы[#Data],MATCH("Percent",ТабЗаказы[#Headers],0),0))/100,200/COUNTIF(ТабПозиции[orderNum],ТабПозиции[[#This Row],[orderNum]])),0),"")</f>
        <v>129</v>
      </c>
      <c r="Q1360">
        <f>IF(OR(ТабПозиции[[#This Row],[item]]="По штрихкоду",ТабПозиции[[#This Row],[item]]="Посылка"),ТабПозиции[[#This Row],[deliverySumm]]+ТабПозиции[[#This Row],[deliveryPost]],SUM(N1360:P1360))</f>
        <v>987</v>
      </c>
      <c r="R1360" s="41">
        <v>987</v>
      </c>
      <c r="S1360" s="46">
        <f>ТабПозиции[[#This Row],[totalSumm]]-ТабПозиции[[#This Row],[payment]]</f>
        <v>0</v>
      </c>
      <c r="T1360" s="18" t="s">
        <v>960</v>
      </c>
      <c r="U1360" s="40" t="s">
        <v>545</v>
      </c>
      <c r="V1360" s="40" t="str">
        <f>IF(AND(ТабПозиции[[#This Row],[Остаток]]=0,ТабПозиции[[#This Row],[Заказан]]="Да"),"Да","Нет")</f>
        <v>Да</v>
      </c>
      <c r="W1360" s="40" t="str">
        <f>IF(AND(ТабПозиции[[#This Row],[Остаток]]=0,ТабПозиции[[#This Row],[Заказан]]="Да"),"Да","Нет")</f>
        <v>Да</v>
      </c>
      <c r="X1360" s="3"/>
      <c r="Y1360"/>
    </row>
    <row r="1361" spans="1:25" hidden="1" x14ac:dyDescent="0.25">
      <c r="A1361" s="10">
        <v>365</v>
      </c>
      <c r="B1361" s="1">
        <f>IFERROR(VLOOKUP(ТабПозиции[[#This Row],[orderNum]],ТабЗаказы[#Data],MATCH(B$7,ТабЗаказы[#Headers],0),0),"")</f>
        <v>45625</v>
      </c>
      <c r="C1361" t="str">
        <f>MONTH(ТабПозиции[[#This Row],[date]])&amp;"/"&amp;YEAR(ТабПозиции[[#This Row],[date]])</f>
        <v>11/2024</v>
      </c>
      <c r="D1361" s="1" t="str">
        <f>IFERROR(VLOOKUP(ТабПозиции[[#This Row],[orderNum]],ТабЗаказы[#Data],MATCH(D$7,ТабЗаказы[#Headers],0),0),"")</f>
        <v/>
      </c>
      <c r="E1361" s="1" t="str">
        <f>IFERROR(VLOOKUP(ТабПозиции[[#This Row],[orderNum]],ТабЗаказы[#Data],MATCH(E$7,ТабЗаказы[#Headers],0),0),"")</f>
        <v/>
      </c>
      <c r="F1361" s="16" t="s">
        <v>1721</v>
      </c>
      <c r="G1361" s="40" t="s">
        <v>545</v>
      </c>
      <c r="I1361" s="18">
        <v>45628</v>
      </c>
      <c r="J1361" s="10">
        <v>1</v>
      </c>
      <c r="K1361" s="10">
        <v>2852</v>
      </c>
      <c r="L1361">
        <f>ТабПозиции[[#This Row],[discountPrice]]*ТабПозиции[[#This Row],[quantity]]</f>
        <v>2852</v>
      </c>
      <c r="M1361" s="10">
        <v>3059</v>
      </c>
      <c r="N1361">
        <f t="shared" si="26"/>
        <v>3059</v>
      </c>
      <c r="P13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Row],[orderNum]],ТабПозиции[orderSumm])&gt;1500),ABS(N1361*VLOOKUP(ТабПозиции[[#This Row],[orderNum]],ТабЗаказы[#Data],MATCH("Percent",ТабЗаказы[#Headers],0),0))/100,200/COUNTIF(ТабПозиции[orderNum],ТабПозиции[[#This Row],[orderNum]])),0),"")</f>
        <v>459</v>
      </c>
      <c r="Q1361">
        <f>IF(OR(ТабПозиции[[#This Row],[item]]="По штрихкоду",ТабПозиции[[#This Row],[item]]="Посылка"),ТабПозиции[[#This Row],[deliverySumm]]+ТабПозиции[[#This Row],[deliveryPost]],SUM(N1361:P1361))</f>
        <v>3518</v>
      </c>
      <c r="R1361" s="41">
        <v>3518</v>
      </c>
      <c r="S1361" s="46">
        <f>ТабПозиции[[#This Row],[totalSumm]]-ТабПозиции[[#This Row],[payment]]</f>
        <v>0</v>
      </c>
      <c r="T1361" s="18" t="s">
        <v>960</v>
      </c>
      <c r="U1361" s="40" t="s">
        <v>545</v>
      </c>
      <c r="V1361" s="40" t="str">
        <f>IF(AND(ТабПозиции[[#This Row],[Остаток]]=0,ТабПозиции[[#This Row],[Заказан]]="Да"),"Да","Нет")</f>
        <v>Да</v>
      </c>
      <c r="W1361" s="40" t="str">
        <f>IF(AND(ТабПозиции[[#This Row],[Остаток]]=0,ТабПозиции[[#This Row],[Заказан]]="Да"),"Да","Нет")</f>
        <v>Да</v>
      </c>
      <c r="X1361" s="3"/>
      <c r="Y1361"/>
    </row>
    <row r="1362" spans="1:25" hidden="1" x14ac:dyDescent="0.25">
      <c r="A1362" s="10">
        <v>366</v>
      </c>
      <c r="B1362" s="1">
        <f>IFERROR(VLOOKUP(ТабПозиции[[#This Row],[orderNum]],ТабЗаказы[#Data],MATCH(B$7,ТабЗаказы[#Headers],0),0),"")</f>
        <v>45625</v>
      </c>
      <c r="C1362" t="str">
        <f>MONTH(ТабПозиции[[#This Row],[date]])&amp;"/"&amp;YEAR(ТабПозиции[[#This Row],[date]])</f>
        <v>11/2024</v>
      </c>
      <c r="D1362" s="1" t="str">
        <f>IFERROR(VLOOKUP(ТабПозиции[[#This Row],[orderNum]],ТабЗаказы[#Data],MATCH(D$7,ТабЗаказы[#Headers],0),0),"")</f>
        <v/>
      </c>
      <c r="E1362" s="1" t="str">
        <f>IFERROR(VLOOKUP(ТабПозиции[[#This Row],[orderNum]],ТабЗаказы[#Data],MATCH(E$7,ТабЗаказы[#Headers],0),0),"")</f>
        <v/>
      </c>
      <c r="F1362" s="16" t="s">
        <v>1903</v>
      </c>
      <c r="G1362" s="40" t="s">
        <v>545</v>
      </c>
      <c r="I1362" s="18">
        <v>45629</v>
      </c>
      <c r="J1362" s="10">
        <v>1</v>
      </c>
      <c r="K1362" s="10">
        <v>1381</v>
      </c>
      <c r="L1362">
        <f>ТабПозиции[[#This Row],[discountPrice]]*ТабПозиции[[#This Row],[quantity]]</f>
        <v>1381</v>
      </c>
      <c r="M1362" s="10">
        <v>1454</v>
      </c>
      <c r="N1362">
        <f t="shared" si="26"/>
        <v>1454</v>
      </c>
      <c r="P13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Row],[orderNum]],ТабПозиции[orderSumm])&gt;1500),ABS(N1362*VLOOKUP(ТабПозиции[[#This Row],[orderNum]],ТабЗаказы[#Data],MATCH("Percent",ТабЗаказы[#Headers],0),0))/100,200/COUNTIF(ТабПозиции[orderNum],ТабПозиции[[#This Row],[orderNum]])),0),"")</f>
        <v>145</v>
      </c>
      <c r="Q1362">
        <f>IF(OR(ТабПозиции[[#This Row],[item]]="По штрихкоду",ТабПозиции[[#This Row],[item]]="Посылка"),ТабПозиции[[#This Row],[deliverySumm]]+ТабПозиции[[#This Row],[deliveryPost]],SUM(N1362:P1362))</f>
        <v>1599</v>
      </c>
      <c r="R1362" s="41">
        <v>1599</v>
      </c>
      <c r="S1362" s="46">
        <f>ТабПозиции[[#This Row],[totalSumm]]-ТабПозиции[[#This Row],[payment]]</f>
        <v>0</v>
      </c>
      <c r="T1362" s="18" t="s">
        <v>970</v>
      </c>
      <c r="U1362" s="40" t="s">
        <v>545</v>
      </c>
      <c r="V1362" s="40" t="str">
        <f>IF(AND(ТабПозиции[[#This Row],[Остаток]]=0,ТабПозиции[[#This Row],[Заказан]]="Да"),"Да","Нет")</f>
        <v>Да</v>
      </c>
      <c r="W1362" s="40" t="str">
        <f>IF(AND(ТабПозиции[[#This Row],[Остаток]]=0,ТабПозиции[[#This Row],[Заказан]]="Да"),"Да","Нет")</f>
        <v>Да</v>
      </c>
      <c r="X1362" s="3"/>
      <c r="Y1362"/>
    </row>
    <row r="1363" spans="1:25" hidden="1" x14ac:dyDescent="0.25">
      <c r="A1363" s="10">
        <v>366</v>
      </c>
      <c r="B1363" s="1">
        <f>IFERROR(VLOOKUP(ТабПозиции[[#This Row],[orderNum]],ТабЗаказы[#Data],MATCH(B$7,ТабЗаказы[#Headers],0),0),"")</f>
        <v>45625</v>
      </c>
      <c r="C1363" t="str">
        <f>MONTH(ТабПозиции[[#This Row],[date]])&amp;"/"&amp;YEAR(ТабПозиции[[#This Row],[date]])</f>
        <v>11/2024</v>
      </c>
      <c r="D1363" s="1" t="str">
        <f>IFERROR(VLOOKUP(ТабПозиции[[#This Row],[orderNum]],ТабЗаказы[#Data],MATCH(D$7,ТабЗаказы[#Headers],0),0),"")</f>
        <v/>
      </c>
      <c r="E1363" s="1" t="str">
        <f>IFERROR(VLOOKUP(ТабПозиции[[#This Row],[orderNum]],ТабЗаказы[#Data],MATCH(E$7,ТабЗаказы[#Headers],0),0),"")</f>
        <v/>
      </c>
      <c r="F1363" s="16" t="s">
        <v>776</v>
      </c>
      <c r="G1363" s="40" t="s">
        <v>545</v>
      </c>
      <c r="I1363" s="18">
        <v>45627</v>
      </c>
      <c r="J1363" s="10">
        <v>1</v>
      </c>
      <c r="K1363" s="10">
        <v>598</v>
      </c>
      <c r="L1363">
        <f>ТабПозиции[[#This Row],[discountPrice]]*ТабПозиции[[#This Row],[quantity]]</f>
        <v>598</v>
      </c>
      <c r="M1363" s="10">
        <v>630</v>
      </c>
      <c r="N1363">
        <f t="shared" si="26"/>
        <v>630</v>
      </c>
      <c r="P13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Row],[orderNum]],ТабПозиции[orderSumm])&gt;1500),ABS(N1363*VLOOKUP(ТабПозиции[[#This Row],[orderNum]],ТабЗаказы[#Data],MATCH("Percent",ТабЗаказы[#Headers],0),0))/100,200/COUNTIF(ТабПозиции[orderNum],ТабПозиции[[#This Row],[orderNum]])),0),"")</f>
        <v>63</v>
      </c>
      <c r="Q1363">
        <f>IF(OR(ТабПозиции[[#This Row],[item]]="По штрихкоду",ТабПозиции[[#This Row],[item]]="Посылка"),ТабПозиции[[#This Row],[deliverySumm]]+ТабПозиции[[#This Row],[deliveryPost]],SUM(N1363:P1363))</f>
        <v>693</v>
      </c>
      <c r="R1363" s="41">
        <v>693</v>
      </c>
      <c r="S1363" s="46">
        <f>ТабПозиции[[#This Row],[totalSumm]]-ТабПозиции[[#This Row],[payment]]</f>
        <v>0</v>
      </c>
      <c r="T1363" s="18" t="s">
        <v>970</v>
      </c>
      <c r="U1363" s="40" t="s">
        <v>545</v>
      </c>
      <c r="V1363" s="40" t="str">
        <f>IF(AND(ТабПозиции[[#This Row],[Остаток]]=0,ТабПозиции[[#This Row],[Заказан]]="Да"),"Да","Нет")</f>
        <v>Да</v>
      </c>
      <c r="W1363" s="40" t="str">
        <f>IF(AND(ТабПозиции[[#This Row],[Остаток]]=0,ТабПозиции[[#This Row],[Заказан]]="Да"),"Да","Нет")</f>
        <v>Да</v>
      </c>
      <c r="X1363" s="3"/>
      <c r="Y1363"/>
    </row>
    <row r="1364" spans="1:25" hidden="1" x14ac:dyDescent="0.25">
      <c r="A1364" s="10">
        <v>366</v>
      </c>
      <c r="B1364" s="1">
        <f>IFERROR(VLOOKUP(ТабПозиции[[#This Row],[orderNum]],ТабЗаказы[#Data],MATCH(B$7,ТабЗаказы[#Headers],0),0),"")</f>
        <v>45625</v>
      </c>
      <c r="C1364" t="str">
        <f>MONTH(ТабПозиции[[#This Row],[date]])&amp;"/"&amp;YEAR(ТабПозиции[[#This Row],[date]])</f>
        <v>11/2024</v>
      </c>
      <c r="D1364" s="1" t="str">
        <f>IFERROR(VLOOKUP(ТабПозиции[[#This Row],[orderNum]],ТабЗаказы[#Data],MATCH(D$7,ТабЗаказы[#Headers],0),0),"")</f>
        <v/>
      </c>
      <c r="E1364" s="1" t="str">
        <f>IFERROR(VLOOKUP(ТабПозиции[[#This Row],[orderNum]],ТабЗаказы[#Data],MATCH(E$7,ТабЗаказы[#Headers],0),0),"")</f>
        <v/>
      </c>
      <c r="F1364" s="16" t="s">
        <v>1904</v>
      </c>
      <c r="G1364" s="40" t="s">
        <v>545</v>
      </c>
      <c r="I1364" s="18">
        <v>45638</v>
      </c>
      <c r="J1364" s="10">
        <v>1</v>
      </c>
      <c r="K1364" s="10">
        <v>907</v>
      </c>
      <c r="L1364">
        <f>ТабПозиции[[#This Row],[discountPrice]]*ТабПозиции[[#This Row],[quantity]]</f>
        <v>907</v>
      </c>
      <c r="M1364" s="10">
        <v>955</v>
      </c>
      <c r="N1364">
        <f t="shared" si="26"/>
        <v>955</v>
      </c>
      <c r="P13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Row],[orderNum]],ТабПозиции[orderSumm])&gt;1500),ABS(N1364*VLOOKUP(ТабПозиции[[#This Row],[orderNum]],ТабЗаказы[#Data],MATCH("Percent",ТабЗаказы[#Headers],0),0))/100,200/COUNTIF(ТабПозиции[orderNum],ТабПозиции[[#This Row],[orderNum]])),0),"")</f>
        <v>96</v>
      </c>
      <c r="Q1364">
        <f>IF(OR(ТабПозиции[[#This Row],[item]]="По штрихкоду",ТабПозиции[[#This Row],[item]]="Посылка"),ТабПозиции[[#This Row],[deliverySumm]]+ТабПозиции[[#This Row],[deliveryPost]],SUM(N1364:P1364))</f>
        <v>1051</v>
      </c>
      <c r="R1364" s="41">
        <v>1051</v>
      </c>
      <c r="S1364" s="46">
        <f>ТабПозиции[[#This Row],[totalSumm]]-ТабПозиции[[#This Row],[payment]]</f>
        <v>0</v>
      </c>
      <c r="T1364" s="18" t="s">
        <v>970</v>
      </c>
      <c r="U1364" s="40" t="s">
        <v>545</v>
      </c>
      <c r="V1364" s="40" t="str">
        <f>IF(AND(ТабПозиции[[#This Row],[Остаток]]=0,ТабПозиции[[#This Row],[Заказан]]="Да"),"Да","Нет")</f>
        <v>Да</v>
      </c>
      <c r="W1364" s="40" t="str">
        <f>IF(AND(ТабПозиции[[#This Row],[Остаток]]=0,ТабПозиции[[#This Row],[Заказан]]="Да"),"Да","Нет")</f>
        <v>Да</v>
      </c>
      <c r="X1364" s="3"/>
      <c r="Y1364"/>
    </row>
    <row r="1365" spans="1:25" hidden="1" x14ac:dyDescent="0.25">
      <c r="A1365" s="10">
        <v>366</v>
      </c>
      <c r="B1365" s="1">
        <f>IFERROR(VLOOKUP(ТабПозиции[[#This Row],[orderNum]],ТабЗаказы[#Data],MATCH(B$7,ТабЗаказы[#Headers],0),0),"")</f>
        <v>45625</v>
      </c>
      <c r="C1365" t="str">
        <f>MONTH(ТабПозиции[[#This Row],[date]])&amp;"/"&amp;YEAR(ТабПозиции[[#This Row],[date]])</f>
        <v>11/2024</v>
      </c>
      <c r="D1365" s="1" t="str">
        <f>IFERROR(VLOOKUP(ТабПозиции[[#This Row],[orderNum]],ТабЗаказы[#Data],MATCH(D$7,ТабЗаказы[#Headers],0),0),"")</f>
        <v/>
      </c>
      <c r="E1365" s="1" t="str">
        <f>IFERROR(VLOOKUP(ТабПозиции[[#This Row],[orderNum]],ТабЗаказы[#Data],MATCH(E$7,ТабЗаказы[#Headers],0),0),"")</f>
        <v/>
      </c>
      <c r="F1365" s="16" t="s">
        <v>1905</v>
      </c>
      <c r="G1365" s="40" t="s">
        <v>545</v>
      </c>
      <c r="I1365" s="18">
        <v>45627</v>
      </c>
      <c r="J1365" s="10">
        <v>1</v>
      </c>
      <c r="K1365" s="10">
        <v>508</v>
      </c>
      <c r="L1365">
        <f>ТабПозиции[[#This Row],[discountPrice]]*ТабПозиции[[#This Row],[quantity]]</f>
        <v>508</v>
      </c>
      <c r="M1365" s="10">
        <v>535</v>
      </c>
      <c r="N1365">
        <f t="shared" si="26"/>
        <v>535</v>
      </c>
      <c r="P13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Row],[orderNum]],ТабПозиции[orderSumm])&gt;1500),ABS(N1365*VLOOKUP(ТабПозиции[[#This Row],[orderNum]],ТабЗаказы[#Data],MATCH("Percent",ТабЗаказы[#Headers],0),0))/100,200/COUNTIF(ТабПозиции[orderNum],ТабПозиции[[#This Row],[orderNum]])),0),"")</f>
        <v>54</v>
      </c>
      <c r="Q1365">
        <f>IF(OR(ТабПозиции[[#This Row],[item]]="По штрихкоду",ТабПозиции[[#This Row],[item]]="Посылка"),ТабПозиции[[#This Row],[deliverySumm]]+ТабПозиции[[#This Row],[deliveryPost]],SUM(N1365:P1365))</f>
        <v>589</v>
      </c>
      <c r="R1365" s="41">
        <v>589</v>
      </c>
      <c r="S1365" s="46">
        <f>ТабПозиции[[#This Row],[totalSumm]]-ТабПозиции[[#This Row],[payment]]</f>
        <v>0</v>
      </c>
      <c r="T1365" s="18" t="s">
        <v>970</v>
      </c>
      <c r="U1365" s="40" t="s">
        <v>545</v>
      </c>
      <c r="V1365" s="40" t="str">
        <f>IF(AND(ТабПозиции[[#This Row],[Остаток]]=0,ТабПозиции[[#This Row],[Заказан]]="Да"),"Да","Нет")</f>
        <v>Да</v>
      </c>
      <c r="W1365" s="40" t="str">
        <f>IF(AND(ТабПозиции[[#This Row],[Остаток]]=0,ТабПозиции[[#This Row],[Заказан]]="Да"),"Да","Нет")</f>
        <v>Да</v>
      </c>
      <c r="X1365" s="3"/>
      <c r="Y1365"/>
    </row>
    <row r="1366" spans="1:25" hidden="1" x14ac:dyDescent="0.25">
      <c r="A1366" s="10">
        <v>366</v>
      </c>
      <c r="B1366" s="1">
        <f>IFERROR(VLOOKUP(ТабПозиции[[#This Row],[orderNum]],ТабЗаказы[#Data],MATCH(B$7,ТабЗаказы[#Headers],0),0),"")</f>
        <v>45625</v>
      </c>
      <c r="C1366" t="str">
        <f>MONTH(ТабПозиции[[#This Row],[date]])&amp;"/"&amp;YEAR(ТабПозиции[[#This Row],[date]])</f>
        <v>11/2024</v>
      </c>
      <c r="D1366" s="1" t="str">
        <f>IFERROR(VLOOKUP(ТабПозиции[[#This Row],[orderNum]],ТабЗаказы[#Data],MATCH(D$7,ТабЗаказы[#Headers],0),0),"")</f>
        <v/>
      </c>
      <c r="E1366" s="1" t="str">
        <f>IFERROR(VLOOKUP(ТабПозиции[[#This Row],[orderNum]],ТабЗаказы[#Data],MATCH(E$7,ТабЗаказы[#Headers],0),0),"")</f>
        <v/>
      </c>
      <c r="F1366" s="16" t="s">
        <v>1906</v>
      </c>
      <c r="G1366" s="40" t="s">
        <v>545</v>
      </c>
      <c r="I1366" s="18">
        <v>45630</v>
      </c>
      <c r="J1366" s="10">
        <v>1</v>
      </c>
      <c r="K1366" s="10">
        <v>230</v>
      </c>
      <c r="L1366">
        <f>ТабПозиции[[#This Row],[discountPrice]]*ТабПозиции[[#This Row],[quantity]]</f>
        <v>230</v>
      </c>
      <c r="M1366" s="10">
        <v>243</v>
      </c>
      <c r="N1366">
        <f t="shared" si="26"/>
        <v>243</v>
      </c>
      <c r="P13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Row],[orderNum]],ТабПозиции[orderSumm])&gt;1500),ABS(N1366*VLOOKUP(ТабПозиции[[#This Row],[orderNum]],ТабЗаказы[#Data],MATCH("Percent",ТабЗаказы[#Headers],0),0))/100,200/COUNTIF(ТабПозиции[orderNum],ТабПозиции[[#This Row],[orderNum]])),0),"")</f>
        <v>24</v>
      </c>
      <c r="Q1366">
        <f>IF(OR(ТабПозиции[[#This Row],[item]]="По штрихкоду",ТабПозиции[[#This Row],[item]]="Посылка"),ТабПозиции[[#This Row],[deliverySumm]]+ТабПозиции[[#This Row],[deliveryPost]],SUM(N1366:P1366))</f>
        <v>267</v>
      </c>
      <c r="R1366" s="41">
        <v>267</v>
      </c>
      <c r="S1366" s="46">
        <f>ТабПозиции[[#This Row],[totalSumm]]-ТабПозиции[[#This Row],[payment]]</f>
        <v>0</v>
      </c>
      <c r="T1366" s="18" t="s">
        <v>970</v>
      </c>
      <c r="U1366" s="40" t="s">
        <v>545</v>
      </c>
      <c r="V1366" s="40" t="str">
        <f>IF(AND(ТабПозиции[[#This Row],[Остаток]]=0,ТабПозиции[[#This Row],[Заказан]]="Да"),"Да","Нет")</f>
        <v>Да</v>
      </c>
      <c r="W1366" s="40" t="str">
        <f>IF(AND(ТабПозиции[[#This Row],[Остаток]]=0,ТабПозиции[[#This Row],[Заказан]]="Да"),"Да","Нет")</f>
        <v>Да</v>
      </c>
      <c r="X1366" s="3"/>
      <c r="Y1366"/>
    </row>
    <row r="1367" spans="1:25" hidden="1" x14ac:dyDescent="0.25">
      <c r="A1367" s="10">
        <v>366</v>
      </c>
      <c r="B1367" s="1">
        <f>IFERROR(VLOOKUP(ТабПозиции[[#This Row],[orderNum]],ТабЗаказы[#Data],MATCH(B$7,ТабЗаказы[#Headers],0),0),"")</f>
        <v>45625</v>
      </c>
      <c r="C1367" t="str">
        <f>MONTH(ТабПозиции[[#This Row],[date]])&amp;"/"&amp;YEAR(ТабПозиции[[#This Row],[date]])</f>
        <v>11/2024</v>
      </c>
      <c r="D1367" s="1" t="str">
        <f>IFERROR(VLOOKUP(ТабПозиции[[#This Row],[orderNum]],ТабЗаказы[#Data],MATCH(D$7,ТабЗаказы[#Headers],0),0),"")</f>
        <v/>
      </c>
      <c r="E1367" s="1" t="str">
        <f>IFERROR(VLOOKUP(ТабПозиции[[#This Row],[orderNum]],ТабЗаказы[#Data],MATCH(E$7,ТабЗаказы[#Headers],0),0),"")</f>
        <v/>
      </c>
      <c r="F1367" s="16" t="s">
        <v>1907</v>
      </c>
      <c r="G1367" s="40" t="s">
        <v>545</v>
      </c>
      <c r="I1367" s="18">
        <v>45628</v>
      </c>
      <c r="J1367" s="10">
        <v>1</v>
      </c>
      <c r="K1367" s="10">
        <v>835</v>
      </c>
      <c r="L1367">
        <f>ТабПозиции[[#This Row],[discountPrice]]*ТабПозиции[[#This Row],[quantity]]</f>
        <v>835</v>
      </c>
      <c r="M1367" s="10">
        <v>879</v>
      </c>
      <c r="N1367">
        <f t="shared" si="26"/>
        <v>879</v>
      </c>
      <c r="P13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Row],[orderNum]],ТабПозиции[orderSumm])&gt;1500),ABS(N1367*VLOOKUP(ТабПозиции[[#This Row],[orderNum]],ТабЗаказы[#Data],MATCH("Percent",ТабЗаказы[#Headers],0),0))/100,200/COUNTIF(ТабПозиции[orderNum],ТабПозиции[[#This Row],[orderNum]])),0),"")</f>
        <v>88</v>
      </c>
      <c r="Q1367">
        <f>IF(OR(ТабПозиции[[#This Row],[item]]="По штрихкоду",ТабПозиции[[#This Row],[item]]="Посылка"),ТабПозиции[[#This Row],[deliverySumm]]+ТабПозиции[[#This Row],[deliveryPost]],SUM(N1367:P1367))</f>
        <v>967</v>
      </c>
      <c r="R1367" s="41">
        <v>967</v>
      </c>
      <c r="S1367" s="46">
        <f>ТабПозиции[[#This Row],[totalSumm]]-ТабПозиции[[#This Row],[payment]]</f>
        <v>0</v>
      </c>
      <c r="T1367" s="18" t="s">
        <v>970</v>
      </c>
      <c r="U1367" s="40" t="s">
        <v>545</v>
      </c>
      <c r="V1367" s="40" t="str">
        <f>IF(AND(ТабПозиции[[#This Row],[Остаток]]=0,ТабПозиции[[#This Row],[Заказан]]="Да"),"Да","Нет")</f>
        <v>Да</v>
      </c>
      <c r="W1367" s="40" t="str">
        <f>IF(AND(ТабПозиции[[#This Row],[Остаток]]=0,ТабПозиции[[#This Row],[Заказан]]="Да"),"Да","Нет")</f>
        <v>Да</v>
      </c>
      <c r="X1367" s="3"/>
      <c r="Y1367"/>
    </row>
    <row r="1368" spans="1:25" hidden="1" x14ac:dyDescent="0.25">
      <c r="A1368" s="10">
        <v>366</v>
      </c>
      <c r="B1368" s="1">
        <f>IFERROR(VLOOKUP(ТабПозиции[[#This Row],[orderNum]],ТабЗаказы[#Data],MATCH(B$7,ТабЗаказы[#Headers],0),0),"")</f>
        <v>45625</v>
      </c>
      <c r="C1368" t="str">
        <f>MONTH(ТабПозиции[[#This Row],[date]])&amp;"/"&amp;YEAR(ТабПозиции[[#This Row],[date]])</f>
        <v>11/2024</v>
      </c>
      <c r="D1368" s="1" t="str">
        <f>IFERROR(VLOOKUP(ТабПозиции[[#This Row],[orderNum]],ТабЗаказы[#Data],MATCH(D$7,ТабЗаказы[#Headers],0),0),"")</f>
        <v/>
      </c>
      <c r="E1368" s="1" t="str">
        <f>IFERROR(VLOOKUP(ТабПозиции[[#This Row],[orderNum]],ТабЗаказы[#Data],MATCH(E$7,ТабЗаказы[#Headers],0),0),"")</f>
        <v/>
      </c>
      <c r="F1368" s="16" t="s">
        <v>1908</v>
      </c>
      <c r="G1368" s="40" t="s">
        <v>545</v>
      </c>
      <c r="I1368" s="18">
        <v>45627</v>
      </c>
      <c r="J1368" s="10">
        <v>1</v>
      </c>
      <c r="K1368" s="10">
        <v>284</v>
      </c>
      <c r="L1368">
        <f>ТабПозиции[[#This Row],[discountPrice]]*ТабПозиции[[#This Row],[quantity]]</f>
        <v>284</v>
      </c>
      <c r="M1368" s="10">
        <v>299</v>
      </c>
      <c r="N1368">
        <f t="shared" si="26"/>
        <v>299</v>
      </c>
      <c r="P13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Row],[orderNum]],ТабПозиции[orderSumm])&gt;1500),ABS(N1368*VLOOKUP(ТабПозиции[[#This Row],[orderNum]],ТабЗаказы[#Data],MATCH("Percent",ТабЗаказы[#Headers],0),0))/100,200/COUNTIF(ТабПозиции[orderNum],ТабПозиции[[#This Row],[orderNum]])),0),"")</f>
        <v>30</v>
      </c>
      <c r="Q1368">
        <f>IF(OR(ТабПозиции[[#This Row],[item]]="По штрихкоду",ТабПозиции[[#This Row],[item]]="Посылка"),ТабПозиции[[#This Row],[deliverySumm]]+ТабПозиции[[#This Row],[deliveryPost]],SUM(N1368:P1368))</f>
        <v>329</v>
      </c>
      <c r="R1368" s="41">
        <v>329</v>
      </c>
      <c r="S1368" s="46">
        <f>ТабПозиции[[#This Row],[totalSumm]]-ТабПозиции[[#This Row],[payment]]</f>
        <v>0</v>
      </c>
      <c r="T1368" s="18" t="s">
        <v>970</v>
      </c>
      <c r="U1368" s="40" t="s">
        <v>545</v>
      </c>
      <c r="V1368" s="40" t="str">
        <f>IF(AND(ТабПозиции[[#This Row],[Остаток]]=0,ТабПозиции[[#This Row],[Заказан]]="Да"),"Да","Нет")</f>
        <v>Да</v>
      </c>
      <c r="W1368" s="40" t="str">
        <f>IF(AND(ТабПозиции[[#This Row],[Остаток]]=0,ТабПозиции[[#This Row],[Заказан]]="Да"),"Да","Нет")</f>
        <v>Да</v>
      </c>
      <c r="X1368" s="3"/>
      <c r="Y1368"/>
    </row>
    <row r="1369" spans="1:25" hidden="1" x14ac:dyDescent="0.25">
      <c r="A1369" s="10">
        <v>366</v>
      </c>
      <c r="B1369" s="1">
        <f>IFERROR(VLOOKUP(ТабПозиции[[#This Row],[orderNum]],ТабЗаказы[#Data],MATCH(B$7,ТабЗаказы[#Headers],0),0),"")</f>
        <v>45625</v>
      </c>
      <c r="C1369" t="str">
        <f>MONTH(ТабПозиции[[#This Row],[date]])&amp;"/"&amp;YEAR(ТабПозиции[[#This Row],[date]])</f>
        <v>11/2024</v>
      </c>
      <c r="D1369" s="1" t="str">
        <f>IFERROR(VLOOKUP(ТабПозиции[[#This Row],[orderNum]],ТабЗаказы[#Data],MATCH(D$7,ТабЗаказы[#Headers],0),0),"")</f>
        <v/>
      </c>
      <c r="E1369" s="1" t="str">
        <f>IFERROR(VLOOKUP(ТабПозиции[[#This Row],[orderNum]],ТабЗаказы[#Data],MATCH(E$7,ТабЗаказы[#Headers],0),0),"")</f>
        <v/>
      </c>
      <c r="F1369" s="16" t="s">
        <v>1909</v>
      </c>
      <c r="G1369" s="40" t="s">
        <v>545</v>
      </c>
      <c r="I1369" s="18">
        <v>45627</v>
      </c>
      <c r="J1369" s="10">
        <v>1</v>
      </c>
      <c r="K1369" s="10">
        <v>133</v>
      </c>
      <c r="L1369">
        <f>ТабПозиции[[#This Row],[discountPrice]]*ТабПозиции[[#This Row],[quantity]]</f>
        <v>133</v>
      </c>
      <c r="M1369" s="10">
        <v>140</v>
      </c>
      <c r="N1369">
        <f t="shared" si="26"/>
        <v>140</v>
      </c>
      <c r="P13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Row],[orderNum]],ТабПозиции[orderSumm])&gt;1500),ABS(N1369*VLOOKUP(ТабПозиции[[#This Row],[orderNum]],ТабЗаказы[#Data],MATCH("Percent",ТабЗаказы[#Headers],0),0))/100,200/COUNTIF(ТабПозиции[orderNum],ТабПозиции[[#This Row],[orderNum]])),0),"")</f>
        <v>14</v>
      </c>
      <c r="Q1369">
        <f>IF(OR(ТабПозиции[[#This Row],[item]]="По штрихкоду",ТабПозиции[[#This Row],[item]]="Посылка"),ТабПозиции[[#This Row],[deliverySumm]]+ТабПозиции[[#This Row],[deliveryPost]],SUM(N1369:P1369))</f>
        <v>154</v>
      </c>
      <c r="R1369" s="41">
        <v>154</v>
      </c>
      <c r="S1369" s="46">
        <f>ТабПозиции[[#This Row],[totalSumm]]-ТабПозиции[[#This Row],[payment]]</f>
        <v>0</v>
      </c>
      <c r="T1369" s="18" t="s">
        <v>970</v>
      </c>
      <c r="U1369" s="40" t="s">
        <v>545</v>
      </c>
      <c r="V1369" s="40" t="str">
        <f>IF(AND(ТабПозиции[[#This Row],[Остаток]]=0,ТабПозиции[[#This Row],[Заказан]]="Да"),"Да","Нет")</f>
        <v>Да</v>
      </c>
      <c r="W1369" s="40" t="str">
        <f>IF(AND(ТабПозиции[[#This Row],[Остаток]]=0,ТабПозиции[[#This Row],[Заказан]]="Да"),"Да","Нет")</f>
        <v>Да</v>
      </c>
      <c r="X1369" s="3"/>
      <c r="Y1369"/>
    </row>
    <row r="1370" spans="1:25" hidden="1" x14ac:dyDescent="0.25">
      <c r="A1370" s="10">
        <v>366</v>
      </c>
      <c r="B1370" s="1">
        <f>IFERROR(VLOOKUP(ТабПозиции[[#This Row],[orderNum]],ТабЗаказы[#Data],MATCH(B$7,ТабЗаказы[#Headers],0),0),"")</f>
        <v>45625</v>
      </c>
      <c r="C1370" t="str">
        <f>MONTH(ТабПозиции[[#This Row],[date]])&amp;"/"&amp;YEAR(ТабПозиции[[#This Row],[date]])</f>
        <v>11/2024</v>
      </c>
      <c r="D1370" s="1" t="str">
        <f>IFERROR(VLOOKUP(ТабПозиции[[#This Row],[orderNum]],ТабЗаказы[#Data],MATCH(D$7,ТабЗаказы[#Headers],0),0),"")</f>
        <v/>
      </c>
      <c r="E1370" s="1" t="str">
        <f>IFERROR(VLOOKUP(ТабПозиции[[#This Row],[orderNum]],ТабЗаказы[#Data],MATCH(E$7,ТабЗаказы[#Headers],0),0),"")</f>
        <v/>
      </c>
      <c r="F1370" s="16" t="s">
        <v>1909</v>
      </c>
      <c r="G1370" s="40" t="s">
        <v>545</v>
      </c>
      <c r="I1370" s="18">
        <v>45627</v>
      </c>
      <c r="J1370" s="10">
        <v>1</v>
      </c>
      <c r="K1370" s="10">
        <v>149</v>
      </c>
      <c r="L1370">
        <f>ТабПозиции[[#This Row],[discountPrice]]*ТабПозиции[[#This Row],[quantity]]</f>
        <v>149</v>
      </c>
      <c r="M1370" s="10">
        <v>157</v>
      </c>
      <c r="N1370">
        <f t="shared" si="26"/>
        <v>157</v>
      </c>
      <c r="P13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Row],[orderNum]],ТабПозиции[orderSumm])&gt;1500),ABS(N1370*VLOOKUP(ТабПозиции[[#This Row],[orderNum]],ТабЗаказы[#Data],MATCH("Percent",ТабЗаказы[#Headers],0),0))/100,200/COUNTIF(ТабПозиции[orderNum],ТабПозиции[[#This Row],[orderNum]])),0),"")</f>
        <v>16</v>
      </c>
      <c r="Q1370">
        <f>IF(OR(ТабПозиции[[#This Row],[item]]="По штрихкоду",ТабПозиции[[#This Row],[item]]="Посылка"),ТабПозиции[[#This Row],[deliverySumm]]+ТабПозиции[[#This Row],[deliveryPost]],SUM(N1370:P1370))</f>
        <v>173</v>
      </c>
      <c r="R1370" s="41">
        <v>173</v>
      </c>
      <c r="S1370" s="46">
        <f>ТабПозиции[[#This Row],[totalSumm]]-ТабПозиции[[#This Row],[payment]]</f>
        <v>0</v>
      </c>
      <c r="T1370" s="18" t="s">
        <v>970</v>
      </c>
      <c r="U1370" s="40" t="s">
        <v>545</v>
      </c>
      <c r="V1370" s="40" t="str">
        <f>IF(AND(ТабПозиции[[#This Row],[Остаток]]=0,ТабПозиции[[#This Row],[Заказан]]="Да"),"Да","Нет")</f>
        <v>Да</v>
      </c>
      <c r="W1370" s="40" t="str">
        <f>IF(AND(ТабПозиции[[#This Row],[Остаток]]=0,ТабПозиции[[#This Row],[Заказан]]="Да"),"Да","Нет")</f>
        <v>Да</v>
      </c>
      <c r="X1370" s="3"/>
      <c r="Y1370"/>
    </row>
    <row r="1371" spans="1:25" hidden="1" x14ac:dyDescent="0.25">
      <c r="A1371" s="10">
        <v>366</v>
      </c>
      <c r="B1371" s="1">
        <f>IFERROR(VLOOKUP(ТабПозиции[[#This Row],[orderNum]],ТабЗаказы[#Data],MATCH(B$7,ТабЗаказы[#Headers],0),0),"")</f>
        <v>45625</v>
      </c>
      <c r="C1371" t="str">
        <f>MONTH(ТабПозиции[[#This Row],[date]])&amp;"/"&amp;YEAR(ТабПозиции[[#This Row],[date]])</f>
        <v>11/2024</v>
      </c>
      <c r="D1371" s="1" t="str">
        <f>IFERROR(VLOOKUP(ТабПозиции[[#This Row],[orderNum]],ТабЗаказы[#Data],MATCH(D$7,ТабЗаказы[#Headers],0),0),"")</f>
        <v/>
      </c>
      <c r="E1371" s="1" t="str">
        <f>IFERROR(VLOOKUP(ТабПозиции[[#This Row],[orderNum]],ТабЗаказы[#Data],MATCH(E$7,ТабЗаказы[#Headers],0),0),"")</f>
        <v/>
      </c>
      <c r="F1371" s="16" t="s">
        <v>1910</v>
      </c>
      <c r="G1371" s="40" t="s">
        <v>545</v>
      </c>
      <c r="I1371" s="18">
        <v>45630</v>
      </c>
      <c r="J1371" s="10">
        <v>1</v>
      </c>
      <c r="K1371" s="10">
        <v>475</v>
      </c>
      <c r="L1371">
        <f>ТабПозиции[[#This Row],[discountPrice]]*ТабПозиции[[#This Row],[quantity]]</f>
        <v>475</v>
      </c>
      <c r="M1371" s="10">
        <v>501</v>
      </c>
      <c r="N1371">
        <f t="shared" si="26"/>
        <v>501</v>
      </c>
      <c r="P13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Row],[orderNum]],ТабПозиции[orderSumm])&gt;1500),ABS(N1371*VLOOKUP(ТабПозиции[[#This Row],[orderNum]],ТабЗаказы[#Data],MATCH("Percent",ТабЗаказы[#Headers],0),0))/100,200/COUNTIF(ТабПозиции[orderNum],ТабПозиции[[#This Row],[orderNum]])),0),"")</f>
        <v>50</v>
      </c>
      <c r="Q1371">
        <f>IF(OR(ТабПозиции[[#This Row],[item]]="По штрихкоду",ТабПозиции[[#This Row],[item]]="Посылка"),ТабПозиции[[#This Row],[deliverySumm]]+ТабПозиции[[#This Row],[deliveryPost]],SUM(N1371:P1371))</f>
        <v>551</v>
      </c>
      <c r="R1371" s="41">
        <v>551</v>
      </c>
      <c r="S1371" s="46">
        <f>ТабПозиции[[#This Row],[totalSumm]]-ТабПозиции[[#This Row],[payment]]</f>
        <v>0</v>
      </c>
      <c r="T1371" s="18" t="s">
        <v>970</v>
      </c>
      <c r="U1371" s="40" t="s">
        <v>545</v>
      </c>
      <c r="V1371" s="40" t="str">
        <f>IF(AND(ТабПозиции[[#This Row],[Остаток]]=0,ТабПозиции[[#This Row],[Заказан]]="Да"),"Да","Нет")</f>
        <v>Да</v>
      </c>
      <c r="W1371" s="40" t="str">
        <f>IF(AND(ТабПозиции[[#This Row],[Остаток]]=0,ТабПозиции[[#This Row],[Заказан]]="Да"),"Да","Нет")</f>
        <v>Да</v>
      </c>
      <c r="X1371" s="3"/>
      <c r="Y1371"/>
    </row>
    <row r="1372" spans="1:25" hidden="1" x14ac:dyDescent="0.25">
      <c r="A1372" s="10">
        <v>366</v>
      </c>
      <c r="B1372" s="1">
        <f>IFERROR(VLOOKUP(ТабПозиции[[#This Row],[orderNum]],ТабЗаказы[#Data],MATCH(B$7,ТабЗаказы[#Headers],0),0),"")</f>
        <v>45625</v>
      </c>
      <c r="C1372" t="str">
        <f>MONTH(ТабПозиции[[#This Row],[date]])&amp;"/"&amp;YEAR(ТабПозиции[[#This Row],[date]])</f>
        <v>11/2024</v>
      </c>
      <c r="D1372" s="1" t="str">
        <f>IFERROR(VLOOKUP(ТабПозиции[[#This Row],[orderNum]],ТабЗаказы[#Data],MATCH(D$7,ТабЗаказы[#Headers],0),0),"")</f>
        <v/>
      </c>
      <c r="E1372" s="1" t="str">
        <f>IFERROR(VLOOKUP(ТабПозиции[[#This Row],[orderNum]],ТабЗаказы[#Data],MATCH(E$7,ТабЗаказы[#Headers],0),0),"")</f>
        <v/>
      </c>
      <c r="F1372" s="16" t="s">
        <v>1911</v>
      </c>
      <c r="G1372" s="40" t="s">
        <v>545</v>
      </c>
      <c r="I1372" s="18">
        <v>45627</v>
      </c>
      <c r="J1372" s="10">
        <v>1</v>
      </c>
      <c r="K1372" s="10">
        <v>1522</v>
      </c>
      <c r="L1372">
        <f>ТабПозиции[[#This Row],[discountPrice]]*ТабПозиции[[#This Row],[quantity]]</f>
        <v>1522</v>
      </c>
      <c r="M1372" s="10">
        <v>1603</v>
      </c>
      <c r="N1372">
        <f t="shared" si="26"/>
        <v>1603</v>
      </c>
      <c r="P13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Row],[orderNum]],ТабПозиции[orderSumm])&gt;1500),ABS(N1372*VLOOKUP(ТабПозиции[[#This Row],[orderNum]],ТабЗаказы[#Data],MATCH("Percent",ТабЗаказы[#Headers],0),0))/100,200/COUNTIF(ТабПозиции[orderNum],ТабПозиции[[#This Row],[orderNum]])),0),"")</f>
        <v>160</v>
      </c>
      <c r="Q1372">
        <f>IF(OR(ТабПозиции[[#This Row],[item]]="По штрихкоду",ТабПозиции[[#This Row],[item]]="Посылка"),ТабПозиции[[#This Row],[deliverySumm]]+ТабПозиции[[#This Row],[deliveryPost]],SUM(N1372:P1372))</f>
        <v>1763</v>
      </c>
      <c r="R1372" s="41">
        <v>1763</v>
      </c>
      <c r="S1372" s="46">
        <f>ТабПозиции[[#This Row],[totalSumm]]-ТабПозиции[[#This Row],[payment]]</f>
        <v>0</v>
      </c>
      <c r="T1372" s="18" t="s">
        <v>970</v>
      </c>
      <c r="U1372" s="40" t="s">
        <v>545</v>
      </c>
      <c r="V1372" s="40" t="str">
        <f>IF(AND(ТабПозиции[[#This Row],[Остаток]]=0,ТабПозиции[[#This Row],[Заказан]]="Да"),"Да","Нет")</f>
        <v>Да</v>
      </c>
      <c r="W1372" s="40" t="str">
        <f>IF(AND(ТабПозиции[[#This Row],[Остаток]]=0,ТабПозиции[[#This Row],[Заказан]]="Да"),"Да","Нет")</f>
        <v>Да</v>
      </c>
      <c r="X1372" s="3"/>
      <c r="Y1372"/>
    </row>
    <row r="1373" spans="1:25" hidden="1" x14ac:dyDescent="0.25">
      <c r="A1373" s="10">
        <v>366</v>
      </c>
      <c r="B1373" s="1">
        <f>IFERROR(VLOOKUP(ТабПозиции[[#This Row],[orderNum]],ТабЗаказы[#Data],MATCH(B$7,ТабЗаказы[#Headers],0),0),"")</f>
        <v>45625</v>
      </c>
      <c r="C1373" t="str">
        <f>MONTH(ТабПозиции[[#This Row],[date]])&amp;"/"&amp;YEAR(ТабПозиции[[#This Row],[date]])</f>
        <v>11/2024</v>
      </c>
      <c r="D1373" s="1" t="str">
        <f>IFERROR(VLOOKUP(ТабПозиции[[#This Row],[orderNum]],ТабЗаказы[#Data],MATCH(D$7,ТабЗаказы[#Headers],0),0),"")</f>
        <v/>
      </c>
      <c r="E1373" s="1" t="str">
        <f>IFERROR(VLOOKUP(ТабПозиции[[#This Row],[orderNum]],ТабЗаказы[#Data],MATCH(E$7,ТабЗаказы[#Headers],0),0),"")</f>
        <v/>
      </c>
      <c r="F1373" s="16" t="s">
        <v>1912</v>
      </c>
      <c r="G1373" s="40" t="s">
        <v>545</v>
      </c>
      <c r="I1373" s="18">
        <v>45627</v>
      </c>
      <c r="J1373" s="10">
        <v>1</v>
      </c>
      <c r="K1373" s="10">
        <v>849</v>
      </c>
      <c r="L1373">
        <f>ТабПозиции[[#This Row],[discountPrice]]*ТабПозиции[[#This Row],[quantity]]</f>
        <v>849</v>
      </c>
      <c r="M1373" s="10">
        <v>894</v>
      </c>
      <c r="N1373">
        <f t="shared" si="26"/>
        <v>894</v>
      </c>
      <c r="P13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Row],[orderNum]],ТабПозиции[orderSumm])&gt;1500),ABS(N1373*VLOOKUP(ТабПозиции[[#This Row],[orderNum]],ТабЗаказы[#Data],MATCH("Percent",ТабЗаказы[#Headers],0),0))/100,200/COUNTIF(ТабПозиции[orderNum],ТабПозиции[[#This Row],[orderNum]])),0),"")</f>
        <v>89</v>
      </c>
      <c r="Q1373">
        <f>IF(OR(ТабПозиции[[#This Row],[item]]="По штрихкоду",ТабПозиции[[#This Row],[item]]="Посылка"),ТабПозиции[[#This Row],[deliverySumm]]+ТабПозиции[[#This Row],[deliveryPost]],SUM(N1373:P1373))</f>
        <v>983</v>
      </c>
      <c r="R1373" s="41">
        <v>983</v>
      </c>
      <c r="S1373" s="46">
        <f>ТабПозиции[[#This Row],[totalSumm]]-ТабПозиции[[#This Row],[payment]]</f>
        <v>0</v>
      </c>
      <c r="T1373" s="18" t="s">
        <v>970</v>
      </c>
      <c r="U1373" s="40" t="s">
        <v>545</v>
      </c>
      <c r="V1373" s="40" t="str">
        <f>IF(AND(ТабПозиции[[#This Row],[Остаток]]=0,ТабПозиции[[#This Row],[Заказан]]="Да"),"Да","Нет")</f>
        <v>Да</v>
      </c>
      <c r="W1373" s="40" t="str">
        <f>IF(AND(ТабПозиции[[#This Row],[Остаток]]=0,ТабПозиции[[#This Row],[Заказан]]="Да"),"Да","Нет")</f>
        <v>Да</v>
      </c>
      <c r="X1373" s="3"/>
      <c r="Y1373"/>
    </row>
    <row r="1374" spans="1:25" hidden="1" x14ac:dyDescent="0.25">
      <c r="A1374" s="10">
        <v>366</v>
      </c>
      <c r="B1374" s="1">
        <f>IFERROR(VLOOKUP(ТабПозиции[[#This Row],[orderNum]],ТабЗаказы[#Data],MATCH(B$7,ТабЗаказы[#Headers],0),0),"")</f>
        <v>45625</v>
      </c>
      <c r="C1374" t="str">
        <f>MONTH(ТабПозиции[[#This Row],[date]])&amp;"/"&amp;YEAR(ТабПозиции[[#This Row],[date]])</f>
        <v>11/2024</v>
      </c>
      <c r="D1374" s="1" t="str">
        <f>IFERROR(VLOOKUP(ТабПозиции[[#This Row],[orderNum]],ТабЗаказы[#Data],MATCH(D$7,ТабЗаказы[#Headers],0),0),"")</f>
        <v/>
      </c>
      <c r="E1374" s="1" t="str">
        <f>IFERROR(VLOOKUP(ТабПозиции[[#This Row],[orderNum]],ТабЗаказы[#Data],MATCH(E$7,ТабЗаказы[#Headers],0),0),"")</f>
        <v/>
      </c>
      <c r="F1374" s="16" t="s">
        <v>1913</v>
      </c>
      <c r="G1374" s="40" t="s">
        <v>545</v>
      </c>
      <c r="I1374" s="18">
        <v>45627</v>
      </c>
      <c r="J1374" s="10">
        <v>1</v>
      </c>
      <c r="K1374" s="10">
        <v>1799</v>
      </c>
      <c r="L1374">
        <f>ТабПозиции[[#This Row],[discountPrice]]*ТабПозиции[[#This Row],[quantity]]</f>
        <v>1799</v>
      </c>
      <c r="M1374" s="10">
        <v>1894</v>
      </c>
      <c r="N1374">
        <f t="shared" si="26"/>
        <v>1894</v>
      </c>
      <c r="P13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Row],[orderNum]],ТабПозиции[orderSumm])&gt;1500),ABS(N1374*VLOOKUP(ТабПозиции[[#This Row],[orderNum]],ТабЗаказы[#Data],MATCH("Percent",ТабЗаказы[#Headers],0),0))/100,200/COUNTIF(ТабПозиции[orderNum],ТабПозиции[[#This Row],[orderNum]])),0),"")</f>
        <v>189</v>
      </c>
      <c r="Q1374">
        <f>IF(OR(ТабПозиции[[#This Row],[item]]="По штрихкоду",ТабПозиции[[#This Row],[item]]="Посылка"),ТабПозиции[[#This Row],[deliverySumm]]+ТабПозиции[[#This Row],[deliveryPost]],SUM(N1374:P1374))</f>
        <v>2083</v>
      </c>
      <c r="R1374" s="41">
        <v>2083</v>
      </c>
      <c r="S1374" s="46">
        <f>ТабПозиции[[#This Row],[totalSumm]]-ТабПозиции[[#This Row],[payment]]</f>
        <v>0</v>
      </c>
      <c r="T1374" s="18" t="s">
        <v>970</v>
      </c>
      <c r="U1374" s="40" t="s">
        <v>545</v>
      </c>
      <c r="V1374" s="40" t="str">
        <f>IF(AND(ТабПозиции[[#This Row],[Остаток]]=0,ТабПозиции[[#This Row],[Заказан]]="Да"),"Да","Нет")</f>
        <v>Да</v>
      </c>
      <c r="W1374" s="40" t="str">
        <f>IF(AND(ТабПозиции[[#This Row],[Остаток]]=0,ТабПозиции[[#This Row],[Заказан]]="Да"),"Да","Нет")</f>
        <v>Да</v>
      </c>
      <c r="X1374" s="3"/>
      <c r="Y1374"/>
    </row>
    <row r="1375" spans="1:25" hidden="1" x14ac:dyDescent="0.25">
      <c r="A1375" s="10">
        <v>366</v>
      </c>
      <c r="B1375" s="1">
        <f>IFERROR(VLOOKUP(ТабПозиции[[#This Row],[orderNum]],ТабЗаказы[#Data],MATCH(B$7,ТабЗаказы[#Headers],0),0),"")</f>
        <v>45625</v>
      </c>
      <c r="C1375" t="str">
        <f>MONTH(ТабПозиции[[#This Row],[date]])&amp;"/"&amp;YEAR(ТабПозиции[[#This Row],[date]])</f>
        <v>11/2024</v>
      </c>
      <c r="D1375" s="1" t="str">
        <f>IFERROR(VLOOKUP(ТабПозиции[[#This Row],[orderNum]],ТабЗаказы[#Data],MATCH(D$7,ТабЗаказы[#Headers],0),0),"")</f>
        <v/>
      </c>
      <c r="E1375" s="1" t="str">
        <f>IFERROR(VLOOKUP(ТабПозиции[[#This Row],[orderNum]],ТабЗаказы[#Data],MATCH(E$7,ТабЗаказы[#Headers],0),0),"")</f>
        <v/>
      </c>
      <c r="F1375" s="16" t="s">
        <v>1914</v>
      </c>
      <c r="G1375" s="40" t="s">
        <v>545</v>
      </c>
      <c r="I1375" s="18">
        <v>45632</v>
      </c>
      <c r="J1375" s="10">
        <v>1</v>
      </c>
      <c r="K1375" s="10">
        <v>203</v>
      </c>
      <c r="L1375">
        <f>ТабПозиции[[#This Row],[discountPrice]]*ТабПозиции[[#This Row],[quantity]]</f>
        <v>203</v>
      </c>
      <c r="M1375" s="10">
        <v>214</v>
      </c>
      <c r="N1375">
        <f t="shared" si="26"/>
        <v>214</v>
      </c>
      <c r="P13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Row],[orderNum]],ТабПозиции[orderSumm])&gt;1500),ABS(N1375*VLOOKUP(ТабПозиции[[#This Row],[orderNum]],ТабЗаказы[#Data],MATCH("Percent",ТабЗаказы[#Headers],0),0))/100,200/COUNTIF(ТабПозиции[orderNum],ТабПозиции[[#This Row],[orderNum]])),0),"")</f>
        <v>21</v>
      </c>
      <c r="Q1375">
        <f>IF(OR(ТабПозиции[[#This Row],[item]]="По штрихкоду",ТабПозиции[[#This Row],[item]]="Посылка"),ТабПозиции[[#This Row],[deliverySumm]]+ТабПозиции[[#This Row],[deliveryPost]],SUM(N1375:P1375))</f>
        <v>235</v>
      </c>
      <c r="R1375" s="41">
        <v>235</v>
      </c>
      <c r="S1375" s="46">
        <f>ТабПозиции[[#This Row],[totalSumm]]-ТабПозиции[[#This Row],[payment]]</f>
        <v>0</v>
      </c>
      <c r="T1375" s="18" t="s">
        <v>970</v>
      </c>
      <c r="U1375" s="40" t="s">
        <v>545</v>
      </c>
      <c r="V1375" s="40" t="str">
        <f>IF(AND(ТабПозиции[[#This Row],[Остаток]]=0,ТабПозиции[[#This Row],[Заказан]]="Да"),"Да","Нет")</f>
        <v>Да</v>
      </c>
      <c r="W1375" s="40" t="str">
        <f>IF(AND(ТабПозиции[[#This Row],[Остаток]]=0,ТабПозиции[[#This Row],[Заказан]]="Да"),"Да","Нет")</f>
        <v>Да</v>
      </c>
      <c r="X1375" s="3"/>
      <c r="Y1375"/>
    </row>
    <row r="1376" spans="1:25" hidden="1" x14ac:dyDescent="0.25">
      <c r="A1376" s="10">
        <v>366</v>
      </c>
      <c r="B1376" s="1">
        <f>IFERROR(VLOOKUP(ТабПозиции[[#This Row],[orderNum]],ТабЗаказы[#Data],MATCH(B$7,ТабЗаказы[#Headers],0),0),"")</f>
        <v>45625</v>
      </c>
      <c r="C1376" t="str">
        <f>MONTH(ТабПозиции[[#This Row],[date]])&amp;"/"&amp;YEAR(ТабПозиции[[#This Row],[date]])</f>
        <v>11/2024</v>
      </c>
      <c r="D1376" s="1" t="str">
        <f>IFERROR(VLOOKUP(ТабПозиции[[#This Row],[orderNum]],ТабЗаказы[#Data],MATCH(D$7,ТабЗаказы[#Headers],0),0),"")</f>
        <v/>
      </c>
      <c r="E1376" s="1" t="str">
        <f>IFERROR(VLOOKUP(ТабПозиции[[#This Row],[orderNum]],ТабЗаказы[#Data],MATCH(E$7,ТабЗаказы[#Headers],0),0),"")</f>
        <v/>
      </c>
      <c r="F1376" s="16" t="s">
        <v>1915</v>
      </c>
      <c r="G1376" s="40" t="s">
        <v>545</v>
      </c>
      <c r="I1376" s="18">
        <v>45631</v>
      </c>
      <c r="J1376" s="10">
        <v>1</v>
      </c>
      <c r="K1376" s="10">
        <v>73</v>
      </c>
      <c r="L1376">
        <f>ТабПозиции[[#This Row],[discountPrice]]*ТабПозиции[[#This Row],[quantity]]</f>
        <v>73</v>
      </c>
      <c r="M1376" s="10">
        <v>77</v>
      </c>
      <c r="N1376">
        <f t="shared" si="26"/>
        <v>77</v>
      </c>
      <c r="P13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Row],[orderNum]],ТабПозиции[orderSumm])&gt;1500),ABS(N1376*VLOOKUP(ТабПозиции[[#This Row],[orderNum]],ТабЗаказы[#Data],MATCH("Percent",ТабЗаказы[#Headers],0),0))/100,200/COUNTIF(ТабПозиции[orderNum],ТабПозиции[[#This Row],[orderNum]])),0),"")</f>
        <v>8</v>
      </c>
      <c r="Q1376">
        <f>IF(OR(ТабПозиции[[#This Row],[item]]="По штрихкоду",ТабПозиции[[#This Row],[item]]="Посылка"),ТабПозиции[[#This Row],[deliverySumm]]+ТабПозиции[[#This Row],[deliveryPost]],SUM(N1376:P1376))</f>
        <v>85</v>
      </c>
      <c r="R1376" s="41">
        <v>85</v>
      </c>
      <c r="S1376" s="46">
        <f>ТабПозиции[[#This Row],[totalSumm]]-ТабПозиции[[#This Row],[payment]]</f>
        <v>0</v>
      </c>
      <c r="T1376" s="18" t="s">
        <v>970</v>
      </c>
      <c r="U1376" s="40" t="s">
        <v>545</v>
      </c>
      <c r="V1376" s="40" t="str">
        <f>IF(AND(ТабПозиции[[#This Row],[Остаток]]=0,ТабПозиции[[#This Row],[Заказан]]="Да"),"Да","Нет")</f>
        <v>Да</v>
      </c>
      <c r="W1376" s="40" t="str">
        <f>IF(AND(ТабПозиции[[#This Row],[Остаток]]=0,ТабПозиции[[#This Row],[Заказан]]="Да"),"Да","Нет")</f>
        <v>Да</v>
      </c>
      <c r="X1376" s="3"/>
      <c r="Y1376"/>
    </row>
    <row r="1377" spans="1:25" hidden="1" x14ac:dyDescent="0.25">
      <c r="A1377" s="10">
        <v>366</v>
      </c>
      <c r="B1377" s="1">
        <f>IFERROR(VLOOKUP(ТабПозиции[[#This Row],[orderNum]],ТабЗаказы[#Data],MATCH(B$7,ТабЗаказы[#Headers],0),0),"")</f>
        <v>45625</v>
      </c>
      <c r="C1377" t="str">
        <f>MONTH(ТабПозиции[[#This Row],[date]])&amp;"/"&amp;YEAR(ТабПозиции[[#This Row],[date]])</f>
        <v>11/2024</v>
      </c>
      <c r="D1377" s="1" t="str">
        <f>IFERROR(VLOOKUP(ТабПозиции[[#This Row],[orderNum]],ТабЗаказы[#Data],MATCH(D$7,ТабЗаказы[#Headers],0),0),"")</f>
        <v/>
      </c>
      <c r="E1377" s="1" t="str">
        <f>IFERROR(VLOOKUP(ТабПозиции[[#This Row],[orderNum]],ТабЗаказы[#Data],MATCH(E$7,ТабЗаказы[#Headers],0),0),"")</f>
        <v/>
      </c>
      <c r="F1377" s="16" t="s">
        <v>1916</v>
      </c>
      <c r="G1377" s="40" t="s">
        <v>545</v>
      </c>
      <c r="I1377" s="18">
        <v>45631</v>
      </c>
      <c r="J1377" s="10">
        <v>1</v>
      </c>
      <c r="K1377" s="10">
        <v>185</v>
      </c>
      <c r="L1377">
        <f>ТабПозиции[[#This Row],[discountPrice]]*ТабПозиции[[#This Row],[quantity]]</f>
        <v>185</v>
      </c>
      <c r="M1377" s="10">
        <v>195</v>
      </c>
      <c r="N1377">
        <f t="shared" si="26"/>
        <v>195</v>
      </c>
      <c r="P13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Row],[orderNum]],ТабПозиции[orderSumm])&gt;1500),ABS(N1377*VLOOKUP(ТабПозиции[[#This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377">
        <f>IF(OR(ТабПозиции[[#This Row],[item]]="По штрихкоду",ТабПозиции[[#This Row],[item]]="Посылка"),ТабПозиции[[#This Row],[deliverySumm]]+ТабПозиции[[#This Row],[deliveryPost]],SUM(N1377:P1377))</f>
        <v>215</v>
      </c>
      <c r="R1377" s="41">
        <v>215</v>
      </c>
      <c r="S1377" s="46">
        <f>ТабПозиции[[#This Row],[totalSumm]]-ТабПозиции[[#This Row],[payment]]</f>
        <v>0</v>
      </c>
      <c r="T1377" s="18" t="s">
        <v>970</v>
      </c>
      <c r="U1377" s="40" t="s">
        <v>545</v>
      </c>
      <c r="V1377" s="40" t="str">
        <f>IF(AND(ТабПозиции[[#This Row],[Остаток]]=0,ТабПозиции[[#This Row],[Заказан]]="Да"),"Да","Нет")</f>
        <v>Да</v>
      </c>
      <c r="W1377" s="40" t="str">
        <f>IF(AND(ТабПозиции[[#This Row],[Остаток]]=0,ТабПозиции[[#This Row],[Заказан]]="Да"),"Да","Нет")</f>
        <v>Да</v>
      </c>
      <c r="X1377" s="3"/>
      <c r="Y1377"/>
    </row>
    <row r="1378" spans="1:25" hidden="1" x14ac:dyDescent="0.25">
      <c r="A1378" s="10">
        <v>366</v>
      </c>
      <c r="B1378" s="1">
        <f>IFERROR(VLOOKUP(ТабПозиции[[#This Row],[orderNum]],ТабЗаказы[#Data],MATCH(B$7,ТабЗаказы[#Headers],0),0),"")</f>
        <v>45625</v>
      </c>
      <c r="C1378" t="str">
        <f>MONTH(ТабПозиции[[#This Row],[date]])&amp;"/"&amp;YEAR(ТабПозиции[[#This Row],[date]])</f>
        <v>11/2024</v>
      </c>
      <c r="D1378" s="1" t="str">
        <f>IFERROR(VLOOKUP(ТабПозиции[[#This Row],[orderNum]],ТабЗаказы[#Data],MATCH(D$7,ТабЗаказы[#Headers],0),0),"")</f>
        <v/>
      </c>
      <c r="E1378" s="1" t="str">
        <f>IFERROR(VLOOKUP(ТабПозиции[[#This Row],[orderNum]],ТабЗаказы[#Data],MATCH(E$7,ТабЗаказы[#Headers],0),0),"")</f>
        <v/>
      </c>
      <c r="F1378" s="16" t="s">
        <v>1917</v>
      </c>
      <c r="G1378" s="40" t="s">
        <v>545</v>
      </c>
      <c r="I1378" s="18">
        <v>45635</v>
      </c>
      <c r="J1378" s="10">
        <v>2</v>
      </c>
      <c r="K1378" s="10">
        <v>551</v>
      </c>
      <c r="L1378">
        <f>ТабПозиции[[#This Row],[discountPrice]]*ТабПозиции[[#This Row],[quantity]]</f>
        <v>1102</v>
      </c>
      <c r="M1378" s="10">
        <v>581</v>
      </c>
      <c r="N1378">
        <f t="shared" si="26"/>
        <v>1162</v>
      </c>
      <c r="P13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Row],[orderNum]],ТабПозиции[orderSumm])&gt;1500),ABS(N1378*VLOOKUP(ТабПозиции[[#This Row],[orderNum]],ТабЗаказы[#Data],MATCH("Percent",ТабЗаказы[#Headers],0),0))/100,200/COUNTIF(ТабПозиции[orderNum],ТабПозиции[[#This Row],[orderNum]])),0),"")</f>
        <v>116</v>
      </c>
      <c r="Q1378">
        <f>IF(OR(ТабПозиции[[#This Row],[item]]="По штрихкоду",ТабПозиции[[#This Row],[item]]="Посылка"),ТабПозиции[[#This Row],[deliverySumm]]+ТабПозиции[[#This Row],[deliveryPost]],SUM(N1378:P1378))</f>
        <v>1278</v>
      </c>
      <c r="R1378" s="41">
        <v>1278</v>
      </c>
      <c r="S1378" s="46">
        <f>ТабПозиции[[#This Row],[totalSumm]]-ТабПозиции[[#This Row],[payment]]</f>
        <v>0</v>
      </c>
      <c r="T1378" s="18" t="s">
        <v>970</v>
      </c>
      <c r="U1378" s="40" t="s">
        <v>545</v>
      </c>
      <c r="V1378" s="40" t="str">
        <f>IF(AND(ТабПозиции[[#This Row],[Остаток]]=0,ТабПозиции[[#This Row],[Заказан]]="Да"),"Да","Нет")</f>
        <v>Да</v>
      </c>
      <c r="W1378" s="40" t="str">
        <f>IF(AND(ТабПозиции[[#This Row],[Остаток]]=0,ТабПозиции[[#This Row],[Заказан]]="Да"),"Да","Нет")</f>
        <v>Да</v>
      </c>
      <c r="X1378" s="3"/>
      <c r="Y1378"/>
    </row>
    <row r="1379" spans="1:25" hidden="1" x14ac:dyDescent="0.25">
      <c r="A1379" s="10">
        <v>367</v>
      </c>
      <c r="B1379" s="1">
        <f>IFERROR(VLOOKUP(ТабПозиции[[#This Row],[orderNum]],ТабЗаказы[#Data],MATCH(B$7,ТабЗаказы[#Headers],0),0),"")</f>
        <v>45629</v>
      </c>
      <c r="C1379" t="str">
        <f>MONTH(ТабПозиции[[#This Row],[date]])&amp;"/"&amp;YEAR(ТабПозиции[[#This Row],[date]])</f>
        <v>12/2024</v>
      </c>
      <c r="D1379" s="1" t="str">
        <f>IFERROR(VLOOKUP(ТабПозиции[[#This Row],[orderNum]],ТабЗаказы[#Data],MATCH(D$7,ТабЗаказы[#Headers],0),0),"")</f>
        <v/>
      </c>
      <c r="E1379" s="1" t="str">
        <f>IFERROR(VLOOKUP(ТабПозиции[[#This Row],[orderNum]],ТабЗаказы[#Data],MATCH(E$7,ТабЗаказы[#Headers],0),0),"")</f>
        <v/>
      </c>
      <c r="F1379" s="16" t="s">
        <v>1918</v>
      </c>
      <c r="G1379" s="40" t="s">
        <v>545</v>
      </c>
      <c r="I1379" s="18">
        <v>45631</v>
      </c>
      <c r="J1379" s="10">
        <v>1</v>
      </c>
      <c r="K1379" s="10">
        <v>1424</v>
      </c>
      <c r="L1379">
        <f>ТабПозиции[[#This Row],[discountPrice]]*ТабПозиции[[#This Row],[quantity]]</f>
        <v>1424</v>
      </c>
      <c r="M1379" s="10">
        <v>1499</v>
      </c>
      <c r="N1379">
        <f t="shared" si="26"/>
        <v>1499</v>
      </c>
      <c r="P13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Row],[orderNum]],ТабПозиции[orderSumm])&gt;1500),ABS(N1379*VLOOKUP(ТабПозиции[[#This Row],[orderNum]],ТабЗаказы[#Data],MATCH("Percent",ТабЗаказы[#Headers],0),0))/100,200/COUNTIF(ТабПозиции[orderNum],ТабПозиции[[#This Row],[orderNum]])),0),"")</f>
        <v>225</v>
      </c>
      <c r="Q1379">
        <f>IF(OR(ТабПозиции[[#This Row],[item]]="По штрихкоду",ТабПозиции[[#This Row],[item]]="Посылка"),ТабПозиции[[#This Row],[deliverySumm]]+ТабПозиции[[#This Row],[deliveryPost]],SUM(N1379:P1379))</f>
        <v>1724</v>
      </c>
      <c r="R1379" s="41">
        <v>1724</v>
      </c>
      <c r="S1379" s="46">
        <f>ТабПозиции[[#This Row],[totalSumm]]-ТабПозиции[[#This Row],[payment]]</f>
        <v>0</v>
      </c>
      <c r="T1379" s="18" t="s">
        <v>970</v>
      </c>
      <c r="U1379" s="40" t="s">
        <v>545</v>
      </c>
      <c r="V1379" s="40" t="str">
        <f>IF(AND(ТабПозиции[[#This Row],[Остаток]]=0,ТабПозиции[[#This Row],[Заказан]]="Да"),"Да","Нет")</f>
        <v>Да</v>
      </c>
      <c r="W1379" s="40" t="str">
        <f>IF(AND(ТабПозиции[[#This Row],[Остаток]]=0,ТабПозиции[[#This Row],[Заказан]]="Да"),"Да","Нет")</f>
        <v>Да</v>
      </c>
      <c r="X1379" s="3"/>
      <c r="Y1379"/>
    </row>
    <row r="1380" spans="1:25" hidden="1" x14ac:dyDescent="0.25">
      <c r="A1380" s="10">
        <v>367</v>
      </c>
      <c r="B1380" s="1">
        <f>IFERROR(VLOOKUP(ТабПозиции[[#This Row],[orderNum]],ТабЗаказы[#Data],MATCH(B$7,ТабЗаказы[#Headers],0),0),"")</f>
        <v>45629</v>
      </c>
      <c r="C1380" t="str">
        <f>MONTH(ТабПозиции[[#This Row],[date]])&amp;"/"&amp;YEAR(ТабПозиции[[#This Row],[date]])</f>
        <v>12/2024</v>
      </c>
      <c r="D1380" s="1" t="str">
        <f>IFERROR(VLOOKUP(ТабПозиции[[#This Row],[orderNum]],ТабЗаказы[#Data],MATCH(D$7,ТабЗаказы[#Headers],0),0),"")</f>
        <v/>
      </c>
      <c r="E1380" s="1" t="str">
        <f>IFERROR(VLOOKUP(ТабПозиции[[#This Row],[orderNum]],ТабЗаказы[#Data],MATCH(E$7,ТабЗаказы[#Headers],0),0),"")</f>
        <v/>
      </c>
      <c r="F1380" s="16" t="s">
        <v>1877</v>
      </c>
      <c r="G1380" s="40" t="s">
        <v>545</v>
      </c>
      <c r="I1380" s="18">
        <v>45631</v>
      </c>
      <c r="J1380" s="10">
        <v>1</v>
      </c>
      <c r="K1380" s="10">
        <v>382</v>
      </c>
      <c r="L1380">
        <f>ТабПозиции[[#This Row],[discountPrice]]*ТабПозиции[[#This Row],[quantity]]</f>
        <v>382</v>
      </c>
      <c r="M1380" s="10">
        <v>403</v>
      </c>
      <c r="N1380">
        <f t="shared" si="26"/>
        <v>403</v>
      </c>
      <c r="P13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Row],[orderNum]],ТабПозиции[orderSumm])&gt;1500),ABS(N1380*VLOOKUP(ТабПозиции[[#This Row],[orderNum]],ТабЗаказы[#Data],MATCH("Percent",ТабЗаказы[#Headers],0),0))/100,200/COUNTIF(ТабПозиции[orderNum],ТабПозиции[[#This Row],[orderNum]])),0),"")</f>
        <v>60</v>
      </c>
      <c r="Q1380">
        <f>IF(OR(ТабПозиции[[#This Row],[item]]="По штрихкоду",ТабПозиции[[#This Row],[item]]="Посылка"),ТабПозиции[[#This Row],[deliverySumm]]+ТабПозиции[[#This Row],[deliveryPost]],SUM(N1380:P1380))</f>
        <v>463</v>
      </c>
      <c r="R1380" s="41">
        <v>463</v>
      </c>
      <c r="S1380" s="46">
        <f>ТабПозиции[[#This Row],[totalSumm]]-ТабПозиции[[#This Row],[payment]]</f>
        <v>0</v>
      </c>
      <c r="T1380" s="18" t="s">
        <v>970</v>
      </c>
      <c r="U1380" s="40" t="s">
        <v>545</v>
      </c>
      <c r="V1380" s="40" t="str">
        <f>IF(AND(ТабПозиции[[#This Row],[Остаток]]=0,ТабПозиции[[#This Row],[Заказан]]="Да"),"Да","Нет")</f>
        <v>Да</v>
      </c>
      <c r="W1380" s="40" t="str">
        <f>IF(AND(ТабПозиции[[#This Row],[Остаток]]=0,ТабПозиции[[#This Row],[Заказан]]="Да"),"Да","Нет")</f>
        <v>Да</v>
      </c>
      <c r="X1380" s="3"/>
      <c r="Y1380"/>
    </row>
    <row r="1381" spans="1:25" hidden="1" x14ac:dyDescent="0.25">
      <c r="A1381" s="10">
        <v>367</v>
      </c>
      <c r="B1381" s="1">
        <f>IFERROR(VLOOKUP(ТабПозиции[[#This Row],[orderNum]],ТабЗаказы[#Data],MATCH(B$7,ТабЗаказы[#Headers],0),0),"")</f>
        <v>45629</v>
      </c>
      <c r="C1381" t="str">
        <f>MONTH(ТабПозиции[[#This Row],[date]])&amp;"/"&amp;YEAR(ТабПозиции[[#This Row],[date]])</f>
        <v>12/2024</v>
      </c>
      <c r="D1381" s="1" t="str">
        <f>IFERROR(VLOOKUP(ТабПозиции[[#This Row],[orderNum]],ТабЗаказы[#Data],MATCH(D$7,ТабЗаказы[#Headers],0),0),"")</f>
        <v/>
      </c>
      <c r="E1381" s="1" t="str">
        <f>IFERROR(VLOOKUP(ТабПозиции[[#This Row],[orderNum]],ТабЗаказы[#Data],MATCH(E$7,ТабЗаказы[#Headers],0),0),"")</f>
        <v/>
      </c>
      <c r="F1381" s="16" t="s">
        <v>1680</v>
      </c>
      <c r="G1381" s="40" t="s">
        <v>545</v>
      </c>
      <c r="I1381" s="18">
        <v>45631</v>
      </c>
      <c r="J1381" s="10">
        <v>1</v>
      </c>
      <c r="K1381" s="10">
        <v>464</v>
      </c>
      <c r="L1381">
        <f>ТабПозиции[[#This Row],[discountPrice]]*ТабПозиции[[#This Row],[quantity]]</f>
        <v>464</v>
      </c>
      <c r="M1381" s="10">
        <v>489</v>
      </c>
      <c r="N1381">
        <f t="shared" si="26"/>
        <v>489</v>
      </c>
      <c r="P13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Row],[orderNum]],ТабПозиции[orderSumm])&gt;1500),ABS(N1381*VLOOKUP(ТабПозиции[[#This Row],[orderNum]],ТабЗаказы[#Data],MATCH("Percent",ТабЗаказы[#Headers],0),0))/100,200/COUNTIF(ТабПозиции[orderNum],ТабПозиции[[#This Row],[orderNum]])),0),"")</f>
        <v>73</v>
      </c>
      <c r="Q1381">
        <f>IF(OR(ТабПозиции[[#This Row],[item]]="По штрихкоду",ТабПозиции[[#This Row],[item]]="Посылка"),ТабПозиции[[#This Row],[deliverySumm]]+ТабПозиции[[#This Row],[deliveryPost]],SUM(N1381:P1381))</f>
        <v>562</v>
      </c>
      <c r="R1381" s="41">
        <v>562</v>
      </c>
      <c r="S1381" s="46">
        <f>ТабПозиции[[#This Row],[totalSumm]]-ТабПозиции[[#This Row],[payment]]</f>
        <v>0</v>
      </c>
      <c r="T1381" s="18" t="s">
        <v>970</v>
      </c>
      <c r="U1381" s="40" t="s">
        <v>545</v>
      </c>
      <c r="V1381" s="40" t="str">
        <f>IF(AND(ТабПозиции[[#This Row],[Остаток]]=0,ТабПозиции[[#This Row],[Заказан]]="Да"),"Да","Нет")</f>
        <v>Да</v>
      </c>
      <c r="W1381" s="40" t="str">
        <f>IF(AND(ТабПозиции[[#This Row],[Остаток]]=0,ТабПозиции[[#This Row],[Заказан]]="Да"),"Да","Нет")</f>
        <v>Да</v>
      </c>
      <c r="X1381" s="3"/>
      <c r="Y1381"/>
    </row>
    <row r="1382" spans="1:25" hidden="1" x14ac:dyDescent="0.25">
      <c r="A1382" s="10">
        <v>367</v>
      </c>
      <c r="B1382" s="1">
        <f>IFERROR(VLOOKUP(ТабПозиции[[#This Row],[orderNum]],ТабЗаказы[#Data],MATCH(B$7,ТабЗаказы[#Headers],0),0),"")</f>
        <v>45629</v>
      </c>
      <c r="C1382" t="str">
        <f>MONTH(ТабПозиции[[#This Row],[date]])&amp;"/"&amp;YEAR(ТабПозиции[[#This Row],[date]])</f>
        <v>12/2024</v>
      </c>
      <c r="D1382" s="1" t="str">
        <f>IFERROR(VLOOKUP(ТабПозиции[[#This Row],[orderNum]],ТабЗаказы[#Data],MATCH(D$7,ТабЗаказы[#Headers],0),0),"")</f>
        <v/>
      </c>
      <c r="E1382" s="1" t="str">
        <f>IFERROR(VLOOKUP(ТабПозиции[[#This Row],[orderNum]],ТабЗаказы[#Data],MATCH(E$7,ТабЗаказы[#Headers],0),0),"")</f>
        <v/>
      </c>
      <c r="F1382" s="51" t="s">
        <v>1919</v>
      </c>
      <c r="G1382" s="40" t="s">
        <v>545</v>
      </c>
      <c r="I1382" s="18">
        <v>45631</v>
      </c>
      <c r="J1382" s="10">
        <v>1</v>
      </c>
      <c r="K1382" s="10">
        <v>178</v>
      </c>
      <c r="L1382">
        <f>ТабПозиции[[#This Row],[discountPrice]]*ТабПозиции[[#This Row],[quantity]]</f>
        <v>178</v>
      </c>
      <c r="M1382" s="10">
        <v>182</v>
      </c>
      <c r="N1382">
        <f t="shared" si="26"/>
        <v>182</v>
      </c>
      <c r="P13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Row],[orderNum]],ТабПозиции[orderSumm])&gt;1500),ABS(N1382*VLOOKUP(ТабПозиции[[#This Row],[orderNum]],ТабЗаказы[#Data],MATCH("Percent",ТабЗаказы[#Headers],0),0))/100,200/COUNTIF(ТабПозиции[orderNum],ТабПозиции[[#This Row],[orderNum]])),0),"")</f>
        <v>27</v>
      </c>
      <c r="Q1382">
        <f>IF(OR(ТабПозиции[[#This Row],[item]]="По штрихкоду",ТабПозиции[[#This Row],[item]]="Посылка"),ТабПозиции[[#This Row],[deliverySumm]]+ТабПозиции[[#This Row],[deliveryPost]],SUM(N1382:P1382))</f>
        <v>209</v>
      </c>
      <c r="R1382" s="41">
        <v>209</v>
      </c>
      <c r="S1382" s="46">
        <f>ТабПозиции[[#This Row],[totalSumm]]-ТабПозиции[[#This Row],[payment]]</f>
        <v>0</v>
      </c>
      <c r="T1382" s="18" t="s">
        <v>960</v>
      </c>
      <c r="U1382" s="40" t="s">
        <v>545</v>
      </c>
      <c r="V1382" s="40" t="str">
        <f>IF(AND(ТабПозиции[[#This Row],[Остаток]]=0,ТабПозиции[[#This Row],[Заказан]]="Да"),"Да","Нет")</f>
        <v>Да</v>
      </c>
      <c r="W1382" s="40" t="str">
        <f>IF(AND(ТабПозиции[[#This Row],[Остаток]]=0,ТабПозиции[[#This Row],[Заказан]]="Да"),"Да","Нет")</f>
        <v>Да</v>
      </c>
      <c r="X1382" s="3"/>
      <c r="Y1382"/>
    </row>
    <row r="1383" spans="1:25" hidden="1" x14ac:dyDescent="0.25">
      <c r="A1383" s="10">
        <v>367</v>
      </c>
      <c r="B1383" s="1">
        <f>IFERROR(VLOOKUP(ТабПозиции[[#This Row],[orderNum]],ТабЗаказы[#Data],MATCH(B$7,ТабЗаказы[#Headers],0),0),"")</f>
        <v>45629</v>
      </c>
      <c r="C1383" t="str">
        <f>MONTH(ТабПозиции[[#This Row],[date]])&amp;"/"&amp;YEAR(ТабПозиции[[#This Row],[date]])</f>
        <v>12/2024</v>
      </c>
      <c r="D1383" s="1" t="str">
        <f>IFERROR(VLOOKUP(ТабПозиции[[#This Row],[orderNum]],ТабЗаказы[#Data],MATCH(D$7,ТабЗаказы[#Headers],0),0),"")</f>
        <v/>
      </c>
      <c r="E1383" s="1" t="str">
        <f>IFERROR(VLOOKUP(ТабПозиции[[#This Row],[orderNum]],ТабЗаказы[#Data],MATCH(E$7,ТабЗаказы[#Headers],0),0),"")</f>
        <v/>
      </c>
      <c r="F1383" s="16" t="s">
        <v>1920</v>
      </c>
      <c r="G1383" s="40" t="s">
        <v>545</v>
      </c>
      <c r="I1383" s="18">
        <v>45631</v>
      </c>
      <c r="J1383" s="10">
        <v>1</v>
      </c>
      <c r="K1383" s="10">
        <v>151</v>
      </c>
      <c r="L1383">
        <f>ТабПозиции[[#This Row],[discountPrice]]*ТабПозиции[[#This Row],[quantity]]</f>
        <v>151</v>
      </c>
      <c r="M1383" s="10">
        <v>159</v>
      </c>
      <c r="N1383">
        <f t="shared" si="26"/>
        <v>159</v>
      </c>
      <c r="P13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Row],[orderNum]],ТабПозиции[orderSumm])&gt;1500),ABS(N1383*VLOOKUP(ТабПозиции[[#This Row],[orderNum]],ТабЗаказы[#Data],MATCH("Percent",ТабЗаказы[#Headers],0),0))/100,200/COUNTIF(ТабПозиции[orderNum],ТабПозиции[[#This Row],[orderNum]])),0),"")</f>
        <v>24</v>
      </c>
      <c r="Q1383">
        <f>IF(OR(ТабПозиции[[#This Row],[item]]="По штрихкоду",ТабПозиции[[#This Row],[item]]="Посылка"),ТабПозиции[[#This Row],[deliverySumm]]+ТабПозиции[[#This Row],[deliveryPost]],SUM(N1383:P1383))</f>
        <v>183</v>
      </c>
      <c r="R1383" s="41">
        <v>183</v>
      </c>
      <c r="S1383" s="46">
        <f>ТабПозиции[[#This Row],[totalSumm]]-ТабПозиции[[#This Row],[payment]]</f>
        <v>0</v>
      </c>
      <c r="T1383" s="18" t="s">
        <v>970</v>
      </c>
      <c r="U1383" s="40" t="s">
        <v>545</v>
      </c>
      <c r="V1383" s="40" t="str">
        <f>IF(AND(ТабПозиции[[#This Row],[Остаток]]=0,ТабПозиции[[#This Row],[Заказан]]="Да"),"Да","Нет")</f>
        <v>Да</v>
      </c>
      <c r="W1383" s="40" t="str">
        <f>IF(AND(ТабПозиции[[#This Row],[Остаток]]=0,ТабПозиции[[#This Row],[Заказан]]="Да"),"Да","Нет")</f>
        <v>Да</v>
      </c>
      <c r="X1383" s="3"/>
      <c r="Y1383"/>
    </row>
    <row r="1384" spans="1:25" hidden="1" x14ac:dyDescent="0.25">
      <c r="A1384" s="10">
        <v>367</v>
      </c>
      <c r="B1384" s="1">
        <f>IFERROR(VLOOKUP(ТабПозиции[[#This Row],[orderNum]],ТабЗаказы[#Data],MATCH(B$7,ТабЗаказы[#Headers],0),0),"")</f>
        <v>45629</v>
      </c>
      <c r="C1384" t="str">
        <f>MONTH(ТабПозиции[[#This Row],[date]])&amp;"/"&amp;YEAR(ТабПозиции[[#This Row],[date]])</f>
        <v>12/2024</v>
      </c>
      <c r="D1384" s="1" t="str">
        <f>IFERROR(VLOOKUP(ТабПозиции[[#This Row],[orderNum]],ТабЗаказы[#Data],MATCH(D$7,ТабЗаказы[#Headers],0),0),"")</f>
        <v/>
      </c>
      <c r="E1384" s="1" t="str">
        <f>IFERROR(VLOOKUP(ТабПозиции[[#This Row],[orderNum]],ТабЗаказы[#Data],MATCH(E$7,ТабЗаказы[#Headers],0),0),"")</f>
        <v/>
      </c>
      <c r="F1384" s="16" t="s">
        <v>1921</v>
      </c>
      <c r="G1384" s="40" t="s">
        <v>545</v>
      </c>
      <c r="I1384" s="18">
        <v>45633</v>
      </c>
      <c r="J1384" s="10">
        <v>1</v>
      </c>
      <c r="K1384" s="10">
        <v>183</v>
      </c>
      <c r="L1384">
        <f>ТабПозиции[[#This Row],[discountPrice]]*ТабПозиции[[#This Row],[quantity]]</f>
        <v>183</v>
      </c>
      <c r="M1384" s="10">
        <v>187</v>
      </c>
      <c r="N1384">
        <f t="shared" si="26"/>
        <v>187</v>
      </c>
      <c r="P13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Row],[orderNum]],ТабПозиции[orderSumm])&gt;1500),ABS(N1384*VLOOKUP(ТабПозиции[[#This Row],[orderNum]],ТабЗаказы[#Data],MATCH("Percent",ТабЗаказы[#Headers],0),0))/100,200/COUNTIF(ТабПозиции[orderNum],ТабПозиции[[#This Row],[orderNum]])),0),"")</f>
        <v>28</v>
      </c>
      <c r="Q1384">
        <f>IF(OR(ТабПозиции[[#This Row],[item]]="По штрихкоду",ТабПозиции[[#This Row],[item]]="Посылка"),ТабПозиции[[#This Row],[deliverySumm]]+ТабПозиции[[#This Row],[deliveryPost]],SUM(N1384:P1384))</f>
        <v>215</v>
      </c>
      <c r="R1384" s="41">
        <v>215</v>
      </c>
      <c r="S1384" s="46">
        <f>ТабПозиции[[#This Row],[totalSumm]]-ТабПозиции[[#This Row],[payment]]</f>
        <v>0</v>
      </c>
      <c r="T1384" s="18" t="s">
        <v>960</v>
      </c>
      <c r="U1384" s="40" t="s">
        <v>545</v>
      </c>
      <c r="V1384" s="40" t="str">
        <f>IF(AND(ТабПозиции[[#This Row],[Остаток]]=0,ТабПозиции[[#This Row],[Заказан]]="Да"),"Да","Нет")</f>
        <v>Да</v>
      </c>
      <c r="W1384" s="40" t="str">
        <f>IF(AND(ТабПозиции[[#This Row],[Остаток]]=0,ТабПозиции[[#This Row],[Заказан]]="Да"),"Да","Нет")</f>
        <v>Да</v>
      </c>
      <c r="X1384" s="3"/>
      <c r="Y1384"/>
    </row>
    <row r="1385" spans="1:25" hidden="1" x14ac:dyDescent="0.25">
      <c r="A1385" s="10">
        <v>367</v>
      </c>
      <c r="B1385" s="1">
        <f>IFERROR(VLOOKUP(ТабПозиции[[#This Row],[orderNum]],ТабЗаказы[#Data],MATCH(B$7,ТабЗаказы[#Headers],0),0),"")</f>
        <v>45629</v>
      </c>
      <c r="C1385" t="str">
        <f>MONTH(ТабПозиции[[#This Row],[date]])&amp;"/"&amp;YEAR(ТабПозиции[[#This Row],[date]])</f>
        <v>12/2024</v>
      </c>
      <c r="D1385" s="1" t="str">
        <f>IFERROR(VLOOKUP(ТабПозиции[[#This Row],[orderNum]],ТабЗаказы[#Data],MATCH(D$7,ТабЗаказы[#Headers],0),0),"")</f>
        <v/>
      </c>
      <c r="E1385" s="1" t="str">
        <f>IFERROR(VLOOKUP(ТабПозиции[[#This Row],[orderNum]],ТабЗаказы[#Data],MATCH(E$7,ТабЗаказы[#Headers],0),0),"")</f>
        <v/>
      </c>
      <c r="F1385" s="16" t="s">
        <v>1922</v>
      </c>
      <c r="G1385" s="40" t="s">
        <v>545</v>
      </c>
      <c r="I1385" s="18">
        <v>45633</v>
      </c>
      <c r="J1385" s="10">
        <v>1</v>
      </c>
      <c r="K1385" s="10">
        <v>282</v>
      </c>
      <c r="L1385">
        <f>ТабПозиции[[#This Row],[discountPrice]]*ТабПозиции[[#This Row],[quantity]]</f>
        <v>282</v>
      </c>
      <c r="M1385" s="10">
        <v>297</v>
      </c>
      <c r="N1385">
        <f t="shared" si="26"/>
        <v>297</v>
      </c>
      <c r="P13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Row],[orderNum]],ТабПозиции[orderSumm])&gt;1500),ABS(N1385*VLOOKUP(ТабПозиции[[#This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385">
        <f>IF(OR(ТабПозиции[[#This Row],[item]]="По штрихкоду",ТабПозиции[[#This Row],[item]]="Посылка"),ТабПозиции[[#This Row],[deliverySumm]]+ТабПозиции[[#This Row],[deliveryPost]],SUM(N1385:P1385))</f>
        <v>342</v>
      </c>
      <c r="R1385" s="41">
        <v>342</v>
      </c>
      <c r="S1385" s="46">
        <f>ТабПозиции[[#This Row],[totalSumm]]-ТабПозиции[[#This Row],[payment]]</f>
        <v>0</v>
      </c>
      <c r="T1385" s="18" t="s">
        <v>970</v>
      </c>
      <c r="U1385" s="40" t="s">
        <v>545</v>
      </c>
      <c r="V1385" s="40" t="str">
        <f>IF(AND(ТабПозиции[[#This Row],[Остаток]]=0,ТабПозиции[[#This Row],[Заказан]]="Да"),"Да","Нет")</f>
        <v>Да</v>
      </c>
      <c r="W1385" s="40" t="str">
        <f>IF(AND(ТабПозиции[[#This Row],[Остаток]]=0,ТабПозиции[[#This Row],[Заказан]]="Да"),"Да","Нет")</f>
        <v>Да</v>
      </c>
      <c r="X1385" s="3"/>
      <c r="Y1385"/>
    </row>
    <row r="1386" spans="1:25" hidden="1" x14ac:dyDescent="0.25">
      <c r="A1386" s="10">
        <v>367</v>
      </c>
      <c r="B1386" s="1">
        <f>IFERROR(VLOOKUP(ТабПозиции[[#This Row],[orderNum]],ТабЗаказы[#Data],MATCH(B$7,ТабЗаказы[#Headers],0),0),"")</f>
        <v>45629</v>
      </c>
      <c r="C1386" t="str">
        <f>MONTH(ТабПозиции[[#This Row],[date]])&amp;"/"&amp;YEAR(ТабПозиции[[#This Row],[date]])</f>
        <v>12/2024</v>
      </c>
      <c r="D1386" s="1" t="str">
        <f>IFERROR(VLOOKUP(ТабПозиции[[#This Row],[orderNum]],ТабЗаказы[#Data],MATCH(D$7,ТабЗаказы[#Headers],0),0),"")</f>
        <v/>
      </c>
      <c r="E1386" s="1" t="str">
        <f>IFERROR(VLOOKUP(ТабПозиции[[#This Row],[orderNum]],ТабЗаказы[#Data],MATCH(E$7,ТабЗаказы[#Headers],0),0),"")</f>
        <v/>
      </c>
      <c r="F1386" s="16" t="s">
        <v>1923</v>
      </c>
      <c r="G1386" s="40" t="s">
        <v>552</v>
      </c>
      <c r="I1386" s="18">
        <v>45631</v>
      </c>
      <c r="J1386" s="10">
        <v>1</v>
      </c>
      <c r="K1386" s="10">
        <v>330</v>
      </c>
      <c r="L1386">
        <f>ТабПозиции[[#This Row],[discountPrice]]*ТабПозиции[[#This Row],[quantity]]</f>
        <v>330</v>
      </c>
      <c r="M1386" s="10">
        <v>348</v>
      </c>
      <c r="N1386">
        <f t="shared" si="26"/>
        <v>348</v>
      </c>
      <c r="P13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Row],[orderNum]],ТабПозиции[orderSumm])&gt;1500),ABS(N1386*VLOOKUP(ТабПозиции[[#This Row],[orderNum]],ТабЗаказы[#Data],MATCH("Percent",ТабЗаказы[#Headers],0),0))/100,200/COUNTIF(ТабПозиции[orderNum],ТабПозиции[[#This Row],[orderNum]])),0),"")</f>
        <v>52</v>
      </c>
      <c r="Q1386">
        <f>IF(OR(ТабПозиции[[#This Row],[item]]="По штрихкоду",ТабПозиции[[#This Row],[item]]="Посылка"),ТабПозиции[[#This Row],[deliverySumm]]+ТабПозиции[[#This Row],[deliveryPost]],SUM(N1386:P1386))</f>
        <v>400</v>
      </c>
      <c r="R1386" s="41">
        <v>400</v>
      </c>
      <c r="S1386" s="46">
        <f>ТабПозиции[[#This Row],[totalSumm]]-ТабПозиции[[#This Row],[payment]]</f>
        <v>0</v>
      </c>
      <c r="T1386" s="18" t="s">
        <v>970</v>
      </c>
      <c r="U1386" s="40" t="s">
        <v>545</v>
      </c>
      <c r="V1386" s="40" t="str">
        <f>IF(AND(ТабПозиции[[#This Row],[Остаток]]=0,ТабПозиции[[#This Row],[Заказан]]="Да"),"Да","Нет")</f>
        <v>Да</v>
      </c>
      <c r="W1386" s="40" t="str">
        <f>IF(AND(ТабПозиции[[#This Row],[Остаток]]=0,ТабПозиции[[#This Row],[Заказан]]="Да"),"Да","Нет")</f>
        <v>Да</v>
      </c>
      <c r="X1386" s="3"/>
      <c r="Y1386"/>
    </row>
    <row r="1387" spans="1:25" hidden="1" x14ac:dyDescent="0.25">
      <c r="A1387" s="10">
        <v>368</v>
      </c>
      <c r="B1387" s="1">
        <f>IFERROR(VLOOKUP(ТабПозиции[[#This Row],[orderNum]],ТабЗаказы[#Data],MATCH(B$7,ТабЗаказы[#Headers],0),0),"")</f>
        <v>45629</v>
      </c>
      <c r="C1387" t="str">
        <f>MONTH(ТабПозиции[[#This Row],[date]])&amp;"/"&amp;YEAR(ТабПозиции[[#This Row],[date]])</f>
        <v>12/2024</v>
      </c>
      <c r="D1387" s="1" t="str">
        <f>IFERROR(VLOOKUP(ТабПозиции[[#This Row],[orderNum]],ТабЗаказы[#Data],MATCH(D$7,ТабЗаказы[#Headers],0),0),"")</f>
        <v/>
      </c>
      <c r="E1387" s="1" t="str">
        <f>IFERROR(VLOOKUP(ТабПозиции[[#This Row],[orderNum]],ТабЗаказы[#Data],MATCH(E$7,ТабЗаказы[#Headers],0),0),"")</f>
        <v/>
      </c>
      <c r="F1387" s="16" t="s">
        <v>1924</v>
      </c>
      <c r="G1387" s="40" t="s">
        <v>545</v>
      </c>
      <c r="I1387" s="18">
        <v>45631</v>
      </c>
      <c r="J1387" s="10">
        <v>1</v>
      </c>
      <c r="K1387" s="10">
        <v>1210</v>
      </c>
      <c r="L1387">
        <f>ТабПозиции[[#This Row],[discountPrice]]*ТабПозиции[[#This Row],[quantity]]</f>
        <v>1210</v>
      </c>
      <c r="M1387" s="10">
        <v>1261</v>
      </c>
      <c r="N1387">
        <f t="shared" si="26"/>
        <v>1261</v>
      </c>
      <c r="P13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Row],[orderNum]],ТабПозиции[orderSumm])&gt;1500),ABS(N1387*VLOOKUP(ТабПозиции[[#This Row],[orderNum]],ТабЗаказы[#Data],MATCH("Percent",ТабЗаказы[#Headers],0),0))/100,200/COUNTIF(ТабПозиции[orderNum],ТабПозиции[[#This Row],[orderNum]])),0),"")</f>
        <v>189</v>
      </c>
      <c r="Q1387">
        <f>IF(OR(ТабПозиции[[#This Row],[item]]="По штрихкоду",ТабПозиции[[#This Row],[item]]="Посылка"),ТабПозиции[[#This Row],[deliverySumm]]+ТабПозиции[[#This Row],[deliveryPost]],SUM(N1387:P1387))</f>
        <v>1450</v>
      </c>
      <c r="R1387" s="41">
        <v>1450</v>
      </c>
      <c r="S1387" s="46">
        <f>ТабПозиции[[#This Row],[totalSumm]]-ТабПозиции[[#This Row],[payment]]</f>
        <v>0</v>
      </c>
      <c r="T1387" s="18" t="s">
        <v>960</v>
      </c>
      <c r="U1387" s="40" t="s">
        <v>545</v>
      </c>
      <c r="V1387" s="40" t="str">
        <f>IF(AND(ТабПозиции[[#This Row],[Остаток]]=0,ТабПозиции[[#This Row],[Заказан]]="Да"),"Да","Нет")</f>
        <v>Да</v>
      </c>
      <c r="W1387" s="40" t="str">
        <f>IF(AND(ТабПозиции[[#This Row],[Остаток]]=0,ТабПозиции[[#This Row],[Заказан]]="Да"),"Да","Нет")</f>
        <v>Да</v>
      </c>
      <c r="X1387" s="3"/>
      <c r="Y1387"/>
    </row>
    <row r="1388" spans="1:25" hidden="1" x14ac:dyDescent="0.25">
      <c r="A1388" s="10">
        <v>368</v>
      </c>
      <c r="B1388" s="1">
        <f>IFERROR(VLOOKUP(ТабПозиции[[#This Row],[orderNum]],ТабЗаказы[#Data],MATCH(B$7,ТабЗаказы[#Headers],0),0),"")</f>
        <v>45629</v>
      </c>
      <c r="C1388" t="str">
        <f>MONTH(ТабПозиции[[#This Row],[date]])&amp;"/"&amp;YEAR(ТабПозиции[[#This Row],[date]])</f>
        <v>12/2024</v>
      </c>
      <c r="D1388" s="1" t="str">
        <f>IFERROR(VLOOKUP(ТабПозиции[[#This Row],[orderNum]],ТабЗаказы[#Data],MATCH(D$7,ТабЗаказы[#Headers],0),0),"")</f>
        <v/>
      </c>
      <c r="E1388" s="1" t="str">
        <f>IFERROR(VLOOKUP(ТабПозиции[[#This Row],[orderNum]],ТабЗаказы[#Data],MATCH(E$7,ТабЗаказы[#Headers],0),0),"")</f>
        <v/>
      </c>
      <c r="F1388" s="16" t="s">
        <v>1925</v>
      </c>
      <c r="G1388" s="40" t="s">
        <v>545</v>
      </c>
      <c r="I1388" s="18">
        <v>45633</v>
      </c>
      <c r="J1388" s="10">
        <v>1</v>
      </c>
      <c r="K1388" s="10">
        <v>1418</v>
      </c>
      <c r="L1388">
        <f>ТабПозиции[[#This Row],[discountPrice]]*ТабПозиции[[#This Row],[quantity]]</f>
        <v>1418</v>
      </c>
      <c r="M1388" s="10">
        <v>1477</v>
      </c>
      <c r="N1388">
        <f t="shared" si="26"/>
        <v>1477</v>
      </c>
      <c r="P13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Row],[orderNum]],ТабПозиции[orderSumm])&gt;1500),ABS(N1388*VLOOKUP(ТабПозиции[[#This Row],[orderNum]],ТабЗаказы[#Data],MATCH("Percent",ТабЗаказы[#Headers],0),0))/100,200/COUNTIF(ТабПозиции[orderNum],ТабПозиции[[#This Row],[orderNum]])),0),"")</f>
        <v>222</v>
      </c>
      <c r="Q1388">
        <f>IF(OR(ТабПозиции[[#This Row],[item]]="По штрихкоду",ТабПозиции[[#This Row],[item]]="Посылка"),ТабПозиции[[#This Row],[deliverySumm]]+ТабПозиции[[#This Row],[deliveryPost]],SUM(N1388:P1388))</f>
        <v>1699</v>
      </c>
      <c r="R1388" s="41">
        <v>1699</v>
      </c>
      <c r="S1388" s="46">
        <f>ТабПозиции[[#This Row],[totalSumm]]-ТабПозиции[[#This Row],[payment]]</f>
        <v>0</v>
      </c>
      <c r="T1388" s="18" t="s">
        <v>960</v>
      </c>
      <c r="U1388" s="40" t="s">
        <v>545</v>
      </c>
      <c r="V1388" s="40" t="str">
        <f>IF(AND(ТабПозиции[[#This Row],[Остаток]]=0,ТабПозиции[[#This Row],[Заказан]]="Да"),"Да","Нет")</f>
        <v>Да</v>
      </c>
      <c r="W1388" s="40" t="str">
        <f>IF(AND(ТабПозиции[[#This Row],[Остаток]]=0,ТабПозиции[[#This Row],[Заказан]]="Да"),"Да","Нет")</f>
        <v>Да</v>
      </c>
      <c r="X1388" s="3"/>
      <c r="Y1388"/>
    </row>
    <row r="1389" spans="1:25" hidden="1" x14ac:dyDescent="0.25">
      <c r="A1389" s="10">
        <v>368</v>
      </c>
      <c r="B1389" s="1">
        <f>IFERROR(VLOOKUP(ТабПозиции[[#This Row],[orderNum]],ТабЗаказы[#Data],MATCH(B$7,ТабЗаказы[#Headers],0),0),"")</f>
        <v>45629</v>
      </c>
      <c r="C1389" t="str">
        <f>MONTH(ТабПозиции[[#This Row],[date]])&amp;"/"&amp;YEAR(ТабПозиции[[#This Row],[date]])</f>
        <v>12/2024</v>
      </c>
      <c r="D1389" s="1" t="str">
        <f>IFERROR(VLOOKUP(ТабПозиции[[#This Row],[orderNum]],ТабЗаказы[#Data],MATCH(D$7,ТабЗаказы[#Headers],0),0),"")</f>
        <v/>
      </c>
      <c r="E1389" s="1" t="str">
        <f>IFERROR(VLOOKUP(ТабПозиции[[#This Row],[orderNum]],ТабЗаказы[#Data],MATCH(E$7,ТабЗаказы[#Headers],0),0),"")</f>
        <v/>
      </c>
      <c r="F1389" s="16" t="s">
        <v>1926</v>
      </c>
      <c r="G1389" s="40" t="s">
        <v>545</v>
      </c>
      <c r="I1389" s="18">
        <v>45631</v>
      </c>
      <c r="J1389" s="10">
        <v>1</v>
      </c>
      <c r="K1389" s="10">
        <v>1342</v>
      </c>
      <c r="L1389">
        <f>ТабПозиции[[#This Row],[discountPrice]]*ТабПозиции[[#This Row],[quantity]]</f>
        <v>1342</v>
      </c>
      <c r="M1389" s="10">
        <v>1398</v>
      </c>
      <c r="N1389">
        <f t="shared" si="26"/>
        <v>1398</v>
      </c>
      <c r="P13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Row],[orderNum]],ТабПозиции[orderSumm])&gt;1500),ABS(N1389*VLOOKUP(ТабПозиции[[#This Row],[orderNum]],ТабЗаказы[#Data],MATCH("Percent",ТабЗаказы[#Headers],0),0))/100,200/COUNTIF(ТабПозиции[orderNum],ТабПозиции[[#This Row],[orderNum]])),0),"")</f>
        <v>210</v>
      </c>
      <c r="Q1389">
        <f>IF(OR(ТабПозиции[[#This Row],[item]]="По штрихкоду",ТабПозиции[[#This Row],[item]]="Посылка"),ТабПозиции[[#This Row],[deliverySumm]]+ТабПозиции[[#This Row],[deliveryPost]],SUM(N1389:P1389))</f>
        <v>1608</v>
      </c>
      <c r="R1389" s="41">
        <v>1608</v>
      </c>
      <c r="S1389" s="46">
        <f>ТабПозиции[[#This Row],[totalSumm]]-ТабПозиции[[#This Row],[payment]]</f>
        <v>0</v>
      </c>
      <c r="T1389" s="18" t="s">
        <v>960</v>
      </c>
      <c r="U1389" s="40" t="s">
        <v>545</v>
      </c>
      <c r="V1389" s="40" t="str">
        <f>IF(AND(ТабПозиции[[#This Row],[Остаток]]=0,ТабПозиции[[#This Row],[Заказан]]="Да"),"Да","Нет")</f>
        <v>Да</v>
      </c>
      <c r="W1389" s="40" t="str">
        <f>IF(AND(ТабПозиции[[#This Row],[Остаток]]=0,ТабПозиции[[#This Row],[Заказан]]="Да"),"Да","Нет")</f>
        <v>Да</v>
      </c>
      <c r="X1389" s="3"/>
      <c r="Y1389"/>
    </row>
    <row r="1390" spans="1:25" hidden="1" x14ac:dyDescent="0.25">
      <c r="A1390" s="10">
        <v>366</v>
      </c>
      <c r="B1390" s="1">
        <f>IFERROR(VLOOKUP(ТабПозиции[[#This Row],[orderNum]],ТабЗаказы[#Data],MATCH(B$7,ТабЗаказы[#Headers],0),0),"")</f>
        <v>45625</v>
      </c>
      <c r="C1390" t="str">
        <f>MONTH(ТабПозиции[[#This Row],[date]])&amp;"/"&amp;YEAR(ТабПозиции[[#This Row],[date]])</f>
        <v>11/2024</v>
      </c>
      <c r="D1390" s="1" t="str">
        <f>IFERROR(VLOOKUP(ТабПозиции[[#This Row],[orderNum]],ТабЗаказы[#Data],MATCH(D$7,ТабЗаказы[#Headers],0),0),"")</f>
        <v/>
      </c>
      <c r="E1390" s="1" t="str">
        <f>IFERROR(VLOOKUP(ТабПозиции[[#This Row],[orderNum]],ТабЗаказы[#Data],MATCH(E$7,ТабЗаказы[#Headers],0),0),"")</f>
        <v/>
      </c>
      <c r="F1390" s="16" t="s">
        <v>1236</v>
      </c>
      <c r="G1390" s="40" t="s">
        <v>545</v>
      </c>
      <c r="I1390" s="18">
        <v>45631</v>
      </c>
      <c r="J1390" s="10">
        <v>1</v>
      </c>
      <c r="K1390" s="10">
        <v>676</v>
      </c>
      <c r="L1390">
        <f>ТабПозиции[[#This Row],[discountPrice]]*ТабПозиции[[#This Row],[quantity]]</f>
        <v>676</v>
      </c>
      <c r="M1390" s="10">
        <v>712</v>
      </c>
      <c r="N1390">
        <f t="shared" si="26"/>
        <v>712</v>
      </c>
      <c r="P13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Row],[orderNum]],ТабПозиции[orderSumm])&gt;1500),ABS(N1390*VLOOKUP(ТабПозиции[[#This Row],[orderNum]],ТабЗаказы[#Data],MATCH("Percent",ТабЗаказы[#Headers],0),0))/100,200/COUNTIF(ТабПозиции[orderNum],ТабПозиции[[#This Row],[orderNum]])),0),"")</f>
        <v>71</v>
      </c>
      <c r="Q1390">
        <f>IF(OR(ТабПозиции[[#This Row],[item]]="По штрихкоду",ТабПозиции[[#This Row],[item]]="Посылка"),ТабПозиции[[#This Row],[deliverySumm]]+ТабПозиции[[#This Row],[deliveryPost]],SUM(N1390:P1390))</f>
        <v>783</v>
      </c>
      <c r="R1390" s="41">
        <v>783</v>
      </c>
      <c r="S1390" s="46">
        <f>ТабПозиции[[#This Row],[totalSumm]]-ТабПозиции[[#This Row],[payment]]</f>
        <v>0</v>
      </c>
      <c r="T1390" s="18" t="s">
        <v>970</v>
      </c>
      <c r="U1390" s="40" t="s">
        <v>545</v>
      </c>
      <c r="V1390" s="40" t="str">
        <f>IF(AND(ТабПозиции[[#This Row],[Остаток]]=0,ТабПозиции[[#This Row],[Заказан]]="Да"),"Да","Нет")</f>
        <v>Да</v>
      </c>
      <c r="W1390" s="40" t="str">
        <f>IF(AND(ТабПозиции[[#This Row],[Остаток]]=0,ТабПозиции[[#This Row],[Заказан]]="Да"),"Да","Нет")</f>
        <v>Да</v>
      </c>
      <c r="X1390" s="3"/>
      <c r="Y1390"/>
    </row>
    <row r="1391" spans="1:25" hidden="1" x14ac:dyDescent="0.25">
      <c r="A1391" s="10">
        <v>366</v>
      </c>
      <c r="B1391" s="1">
        <f>IFERROR(VLOOKUP(ТабПозиции[[#This Row],[orderNum]],ТабЗаказы[#Data],MATCH(B$7,ТабЗаказы[#Headers],0),0),"")</f>
        <v>45625</v>
      </c>
      <c r="C1391" t="str">
        <f>MONTH(ТабПозиции[[#This Row],[date]])&amp;"/"&amp;YEAR(ТабПозиции[[#This Row],[date]])</f>
        <v>11/2024</v>
      </c>
      <c r="D1391" s="1" t="str">
        <f>IFERROR(VLOOKUP(ТабПозиции[[#This Row],[orderNum]],ТабЗаказы[#Data],MATCH(D$7,ТабЗаказы[#Headers],0),0),"")</f>
        <v/>
      </c>
      <c r="E1391" s="1" t="str">
        <f>IFERROR(VLOOKUP(ТабПозиции[[#This Row],[orderNum]],ТабЗаказы[#Data],MATCH(E$7,ТабЗаказы[#Headers],0),0),"")</f>
        <v/>
      </c>
      <c r="F1391" s="16" t="s">
        <v>1927</v>
      </c>
      <c r="G1391" s="40" t="s">
        <v>545</v>
      </c>
      <c r="I1391" s="18">
        <v>45632</v>
      </c>
      <c r="J1391" s="10">
        <v>1</v>
      </c>
      <c r="K1391" s="10">
        <v>173</v>
      </c>
      <c r="L1391">
        <f>ТабПозиции[[#This Row],[discountPrice]]*ТабПозиции[[#This Row],[quantity]]</f>
        <v>173</v>
      </c>
      <c r="M1391" s="10">
        <v>183</v>
      </c>
      <c r="N1391">
        <f t="shared" si="26"/>
        <v>183</v>
      </c>
      <c r="P13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Row],[orderNum]],ТабПозиции[orderSumm])&gt;1500),ABS(N1391*VLOOKUP(ТабПозиции[[#This Row],[orderNum]],ТабЗаказы[#Data],MATCH("Percent",ТабЗаказы[#Headers],0),0))/100,200/COUNTIF(ТабПозиции[orderNum],ТабПозиции[[#This Row],[orderNum]])),0),"")</f>
        <v>18</v>
      </c>
      <c r="Q1391">
        <f>IF(OR(ТабПозиции[[#This Row],[item]]="По штрихкоду",ТабПозиции[[#This Row],[item]]="Посылка"),ТабПозиции[[#This Row],[deliverySumm]]+ТабПозиции[[#This Row],[deliveryPost]],SUM(N1391:P1391))</f>
        <v>201</v>
      </c>
      <c r="R1391" s="41">
        <v>201</v>
      </c>
      <c r="S1391" s="46">
        <f>ТабПозиции[[#This Row],[totalSumm]]-ТабПозиции[[#This Row],[payment]]</f>
        <v>0</v>
      </c>
      <c r="T1391" s="18" t="s">
        <v>970</v>
      </c>
      <c r="U1391" s="40" t="s">
        <v>545</v>
      </c>
      <c r="V1391" s="40" t="str">
        <f>IF(AND(ТабПозиции[[#This Row],[Остаток]]=0,ТабПозиции[[#This Row],[Заказан]]="Да"),"Да","Нет")</f>
        <v>Да</v>
      </c>
      <c r="W1391" s="40" t="str">
        <f>IF(AND(ТабПозиции[[#This Row],[Остаток]]=0,ТабПозиции[[#This Row],[Заказан]]="Да"),"Да","Нет")</f>
        <v>Да</v>
      </c>
      <c r="X1391" s="3"/>
      <c r="Y1391"/>
    </row>
    <row r="1392" spans="1:25" hidden="1" x14ac:dyDescent="0.25">
      <c r="A1392" s="10">
        <v>366</v>
      </c>
      <c r="B1392" s="1">
        <f>IFERROR(VLOOKUP(ТабПозиции[[#This Row],[orderNum]],ТабЗаказы[#Data],MATCH(B$7,ТабЗаказы[#Headers],0),0),"")</f>
        <v>45625</v>
      </c>
      <c r="C1392" t="str">
        <f>MONTH(ТабПозиции[[#This Row],[date]])&amp;"/"&amp;YEAR(ТабПозиции[[#This Row],[date]])</f>
        <v>11/2024</v>
      </c>
      <c r="D1392" s="1" t="str">
        <f>IFERROR(VLOOKUP(ТабПозиции[[#This Row],[orderNum]],ТабЗаказы[#Data],MATCH(D$7,ТабЗаказы[#Headers],0),0),"")</f>
        <v/>
      </c>
      <c r="E1392" s="1" t="str">
        <f>IFERROR(VLOOKUP(ТабПозиции[[#This Row],[orderNum]],ТабЗаказы[#Data],MATCH(E$7,ТабЗаказы[#Headers],0),0),"")</f>
        <v/>
      </c>
      <c r="F1392" s="16" t="s">
        <v>1928</v>
      </c>
      <c r="G1392" s="40" t="s">
        <v>545</v>
      </c>
      <c r="I1392" s="18">
        <v>45631</v>
      </c>
      <c r="J1392" s="10">
        <v>1</v>
      </c>
      <c r="K1392" s="10">
        <v>670</v>
      </c>
      <c r="L1392">
        <f>ТабПозиции[[#This Row],[discountPrice]]*ТабПозиции[[#This Row],[quantity]]</f>
        <v>670</v>
      </c>
      <c r="M1392" s="10">
        <v>706</v>
      </c>
      <c r="N1392">
        <f t="shared" si="26"/>
        <v>706</v>
      </c>
      <c r="P13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Row],[orderNum]],ТабПозиции[orderSumm])&gt;1500),ABS(N1392*VLOOKUP(ТабПозиции[[#This Row],[orderNum]],ТабЗаказы[#Data],MATCH("Percent",ТабЗаказы[#Headers],0),0))/100,200/COUNTIF(ТабПозиции[orderNum],ТабПозиции[[#This Row],[orderNum]])),0),"")</f>
        <v>71</v>
      </c>
      <c r="Q1392">
        <f>IF(OR(ТабПозиции[[#This Row],[item]]="По штрихкоду",ТабПозиции[[#This Row],[item]]="Посылка"),ТабПозиции[[#This Row],[deliverySumm]]+ТабПозиции[[#This Row],[deliveryPost]],SUM(N1392:P1392))</f>
        <v>777</v>
      </c>
      <c r="R1392" s="41">
        <v>777</v>
      </c>
      <c r="S1392" s="46">
        <f>ТабПозиции[[#This Row],[totalSumm]]-ТабПозиции[[#This Row],[payment]]</f>
        <v>0</v>
      </c>
      <c r="T1392" s="18" t="s">
        <v>970</v>
      </c>
      <c r="U1392" s="40" t="s">
        <v>545</v>
      </c>
      <c r="V1392" s="40" t="str">
        <f>IF(AND(ТабПозиции[[#This Row],[Остаток]]=0,ТабПозиции[[#This Row],[Заказан]]="Да"),"Да","Нет")</f>
        <v>Да</v>
      </c>
      <c r="W1392" s="40" t="str">
        <f>IF(AND(ТабПозиции[[#This Row],[Остаток]]=0,ТабПозиции[[#This Row],[Заказан]]="Да"),"Да","Нет")</f>
        <v>Да</v>
      </c>
      <c r="X1392" s="3"/>
      <c r="Y1392"/>
    </row>
    <row r="1393" spans="1:25" hidden="1" x14ac:dyDescent="0.25">
      <c r="A1393" s="10">
        <v>366</v>
      </c>
      <c r="B1393" s="1">
        <f>IFERROR(VLOOKUP(ТабПозиции[[#This Row],[orderNum]],ТабЗаказы[#Data],MATCH(B$7,ТабЗаказы[#Headers],0),0),"")</f>
        <v>45625</v>
      </c>
      <c r="C1393" t="str">
        <f>MONTH(ТабПозиции[[#This Row],[date]])&amp;"/"&amp;YEAR(ТабПозиции[[#This Row],[date]])</f>
        <v>11/2024</v>
      </c>
      <c r="D1393" s="1" t="str">
        <f>IFERROR(VLOOKUP(ТабПозиции[[#This Row],[orderNum]],ТабЗаказы[#Data],MATCH(D$7,ТабЗаказы[#Headers],0),0),"")</f>
        <v/>
      </c>
      <c r="E1393" s="1" t="str">
        <f>IFERROR(VLOOKUP(ТабПозиции[[#This Row],[orderNum]],ТабЗаказы[#Data],MATCH(E$7,ТабЗаказы[#Headers],0),0),"")</f>
        <v/>
      </c>
      <c r="F1393" s="16" t="s">
        <v>1929</v>
      </c>
      <c r="G1393" s="40" t="s">
        <v>545</v>
      </c>
      <c r="I1393" s="18">
        <v>45632</v>
      </c>
      <c r="J1393" s="10">
        <v>1</v>
      </c>
      <c r="K1393" s="10">
        <v>1466</v>
      </c>
      <c r="L1393">
        <f>ТабПозиции[[#This Row],[discountPrice]]*ТабПозиции[[#This Row],[quantity]]</f>
        <v>1466</v>
      </c>
      <c r="M1393" s="10">
        <v>1544</v>
      </c>
      <c r="N1393">
        <f t="shared" si="26"/>
        <v>1544</v>
      </c>
      <c r="P13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Row],[orderNum]],ТабПозиции[orderSumm])&gt;1500),ABS(N1393*VLOOKUP(ТабПозиции[[#This Row],[orderNum]],ТабЗаказы[#Data],MATCH("Percent",ТабЗаказы[#Headers],0),0))/100,200/COUNTIF(ТабПозиции[orderNum],ТабПозиции[[#This Row],[orderNum]])),0),"")</f>
        <v>154</v>
      </c>
      <c r="Q1393">
        <f>IF(OR(ТабПозиции[[#This Row],[item]]="По штрихкоду",ТабПозиции[[#This Row],[item]]="Посылка"),ТабПозиции[[#This Row],[deliverySumm]]+ТабПозиции[[#This Row],[deliveryPost]],SUM(N1393:P1393))</f>
        <v>1698</v>
      </c>
      <c r="R1393" s="41">
        <v>1698</v>
      </c>
      <c r="S1393" s="46">
        <f>ТабПозиции[[#This Row],[totalSumm]]-ТабПозиции[[#This Row],[payment]]</f>
        <v>0</v>
      </c>
      <c r="T1393" s="18" t="s">
        <v>970</v>
      </c>
      <c r="U1393" s="40" t="s">
        <v>545</v>
      </c>
      <c r="V1393" s="40" t="str">
        <f>IF(AND(ТабПозиции[[#This Row],[Остаток]]=0,ТабПозиции[[#This Row],[Заказан]]="Да"),"Да","Нет")</f>
        <v>Да</v>
      </c>
      <c r="W1393" s="40" t="str">
        <f>IF(AND(ТабПозиции[[#This Row],[Остаток]]=0,ТабПозиции[[#This Row],[Заказан]]="Да"),"Да","Нет")</f>
        <v>Да</v>
      </c>
      <c r="X1393" s="3"/>
      <c r="Y1393"/>
    </row>
    <row r="1394" spans="1:25" hidden="1" x14ac:dyDescent="0.25">
      <c r="A1394" s="10">
        <v>366</v>
      </c>
      <c r="B1394" s="1">
        <f>IFERROR(VLOOKUP(ТабПозиции[[#This Row],[orderNum]],ТабЗаказы[#Data],MATCH(B$7,ТабЗаказы[#Headers],0),0),"")</f>
        <v>45625</v>
      </c>
      <c r="C1394" t="str">
        <f>MONTH(ТабПозиции[[#This Row],[date]])&amp;"/"&amp;YEAR(ТабПозиции[[#This Row],[date]])</f>
        <v>11/2024</v>
      </c>
      <c r="D1394" s="1" t="str">
        <f>IFERROR(VLOOKUP(ТабПозиции[[#This Row],[orderNum]],ТабЗаказы[#Data],MATCH(D$7,ТабЗаказы[#Headers],0),0),"")</f>
        <v/>
      </c>
      <c r="E1394" s="1" t="str">
        <f>IFERROR(VLOOKUP(ТабПозиции[[#This Row],[orderNum]],ТабЗаказы[#Data],MATCH(E$7,ТабЗаказы[#Headers],0),0),"")</f>
        <v/>
      </c>
      <c r="F1394" s="16" t="s">
        <v>1930</v>
      </c>
      <c r="G1394" s="40" t="s">
        <v>545</v>
      </c>
      <c r="I1394" s="18">
        <v>45632</v>
      </c>
      <c r="J1394" s="10">
        <v>1</v>
      </c>
      <c r="K1394" s="10">
        <v>434</v>
      </c>
      <c r="L1394">
        <f>ТабПозиции[[#This Row],[discountPrice]]*ТабПозиции[[#This Row],[quantity]]</f>
        <v>434</v>
      </c>
      <c r="M1394" s="10">
        <v>457</v>
      </c>
      <c r="N1394">
        <f t="shared" si="26"/>
        <v>457</v>
      </c>
      <c r="P13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Row],[orderNum]],ТабПозиции[orderSumm])&gt;1500),ABS(N1394*VLOOKUP(ТабПозиции[[#This Row],[orderNum]],ТабЗаказы[#Data],MATCH("Percent",ТабЗаказы[#Headers],0),0))/100,200/COUNTIF(ТабПозиции[orderNum],ТабПозиции[[#This Row],[orderNum]])),0),"")</f>
        <v>46</v>
      </c>
      <c r="Q1394">
        <f>IF(OR(ТабПозиции[[#This Row],[item]]="По штрихкоду",ТабПозиции[[#This Row],[item]]="Посылка"),ТабПозиции[[#This Row],[deliverySumm]]+ТабПозиции[[#This Row],[deliveryPost]],SUM(N1394:P1394))</f>
        <v>503</v>
      </c>
      <c r="R1394" s="41">
        <v>503</v>
      </c>
      <c r="S1394" s="46">
        <f>ТабПозиции[[#This Row],[totalSumm]]-ТабПозиции[[#This Row],[payment]]</f>
        <v>0</v>
      </c>
      <c r="T1394" s="18" t="s">
        <v>970</v>
      </c>
      <c r="U1394" s="40" t="s">
        <v>545</v>
      </c>
      <c r="V1394" s="40" t="str">
        <f>IF(AND(ТабПозиции[[#This Row],[Остаток]]=0,ТабПозиции[[#This Row],[Заказан]]="Да"),"Да","Нет")</f>
        <v>Да</v>
      </c>
      <c r="W1394" s="40" t="str">
        <f>IF(AND(ТабПозиции[[#This Row],[Остаток]]=0,ТабПозиции[[#This Row],[Заказан]]="Да"),"Да","Нет")</f>
        <v>Да</v>
      </c>
      <c r="X1394" s="3"/>
      <c r="Y1394"/>
    </row>
    <row r="1395" spans="1:25" hidden="1" x14ac:dyDescent="0.25">
      <c r="A1395" s="10">
        <v>366</v>
      </c>
      <c r="B1395" s="1">
        <f>IFERROR(VLOOKUP(ТабПозиции[[#This Row],[orderNum]],ТабЗаказы[#Data],MATCH(B$7,ТабЗаказы[#Headers],0),0),"")</f>
        <v>45625</v>
      </c>
      <c r="C1395" t="str">
        <f>MONTH(ТабПозиции[[#This Row],[date]])&amp;"/"&amp;YEAR(ТабПозиции[[#This Row],[date]])</f>
        <v>11/2024</v>
      </c>
      <c r="D1395" s="1" t="str">
        <f>IFERROR(VLOOKUP(ТабПозиции[[#This Row],[orderNum]],ТабЗаказы[#Data],MATCH(D$7,ТабЗаказы[#Headers],0),0),"")</f>
        <v/>
      </c>
      <c r="E1395" s="1" t="str">
        <f>IFERROR(VLOOKUP(ТабПозиции[[#This Row],[orderNum]],ТабЗаказы[#Data],MATCH(E$7,ТабЗаказы[#Headers],0),0),"")</f>
        <v/>
      </c>
      <c r="F1395" s="16" t="s">
        <v>1931</v>
      </c>
      <c r="G1395" s="40" t="s">
        <v>545</v>
      </c>
      <c r="I1395" s="18">
        <v>45633</v>
      </c>
      <c r="J1395" s="10">
        <v>1</v>
      </c>
      <c r="K1395" s="10">
        <v>142</v>
      </c>
      <c r="L1395">
        <f>ТабПозиции[[#This Row],[discountPrice]]*ТабПозиции[[#This Row],[quantity]]</f>
        <v>142</v>
      </c>
      <c r="M1395" s="10">
        <v>150</v>
      </c>
      <c r="N1395">
        <f t="shared" si="26"/>
        <v>150</v>
      </c>
      <c r="P13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Row],[orderNum]],ТабПозиции[orderSumm])&gt;1500),ABS(N1395*VLOOKUP(ТабПозиции[[#This Row],[orderNum]],ТабЗаказы[#Data],MATCH("Percent",ТабЗаказы[#Headers],0),0))/100,200/COUNTIF(ТабПозиции[orderNum],ТабПозиции[[#This Row],[orderNum]])),0),"")</f>
        <v>15</v>
      </c>
      <c r="Q1395">
        <f>IF(OR(ТабПозиции[[#This Row],[item]]="По штрихкоду",ТабПозиции[[#This Row],[item]]="Посылка"),ТабПозиции[[#This Row],[deliverySumm]]+ТабПозиции[[#This Row],[deliveryPost]],SUM(N1395:P1395))</f>
        <v>165</v>
      </c>
      <c r="R1395" s="41">
        <v>165</v>
      </c>
      <c r="S1395" s="46">
        <f>ТабПозиции[[#This Row],[totalSumm]]-ТабПозиции[[#This Row],[payment]]</f>
        <v>0</v>
      </c>
      <c r="T1395" s="18" t="s">
        <v>970</v>
      </c>
      <c r="U1395" s="40" t="s">
        <v>545</v>
      </c>
      <c r="V1395" s="40" t="str">
        <f>IF(AND(ТабПозиции[[#This Row],[Остаток]]=0,ТабПозиции[[#This Row],[Заказан]]="Да"),"Да","Нет")</f>
        <v>Да</v>
      </c>
      <c r="W1395" s="40" t="str">
        <f>IF(AND(ТабПозиции[[#This Row],[Остаток]]=0,ТабПозиции[[#This Row],[Заказан]]="Да"),"Да","Нет")</f>
        <v>Да</v>
      </c>
      <c r="X1395" s="3"/>
      <c r="Y1395"/>
    </row>
    <row r="1396" spans="1:25" hidden="1" x14ac:dyDescent="0.25">
      <c r="A1396" s="10">
        <v>366</v>
      </c>
      <c r="B1396" s="1">
        <f>IFERROR(VLOOKUP(ТабПозиции[[#This Row],[orderNum]],ТабЗаказы[#Data],MATCH(B$7,ТабЗаказы[#Headers],0),0),"")</f>
        <v>45625</v>
      </c>
      <c r="C1396" t="str">
        <f>MONTH(ТабПозиции[[#This Row],[date]])&amp;"/"&amp;YEAR(ТабПозиции[[#This Row],[date]])</f>
        <v>11/2024</v>
      </c>
      <c r="D1396" s="1" t="str">
        <f>IFERROR(VLOOKUP(ТабПозиции[[#This Row],[orderNum]],ТабЗаказы[#Data],MATCH(D$7,ТабЗаказы[#Headers],0),0),"")</f>
        <v/>
      </c>
      <c r="E1396" s="1" t="str">
        <f>IFERROR(VLOOKUP(ТабПозиции[[#This Row],[orderNum]],ТабЗаказы[#Data],MATCH(E$7,ТабЗаказы[#Headers],0),0),"")</f>
        <v/>
      </c>
      <c r="F1396" s="16" t="s">
        <v>1932</v>
      </c>
      <c r="G1396" s="40" t="s">
        <v>545</v>
      </c>
      <c r="I1396" s="18">
        <v>45631</v>
      </c>
      <c r="J1396" s="10">
        <v>1</v>
      </c>
      <c r="K1396" s="10">
        <v>769</v>
      </c>
      <c r="L1396">
        <f>ТабПозиции[[#This Row],[discountPrice]]*ТабПозиции[[#This Row],[quantity]]</f>
        <v>769</v>
      </c>
      <c r="M1396" s="10">
        <v>810</v>
      </c>
      <c r="N1396">
        <f t="shared" si="26"/>
        <v>810</v>
      </c>
      <c r="P13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Row],[orderNum]],ТабПозиции[orderSumm])&gt;1500),ABS(N1396*VLOOKUP(ТабПозиции[[#This Row],[orderNum]],ТабЗаказы[#Data],MATCH("Percent",ТабЗаказы[#Headers],0),0))/100,200/COUNTIF(ТабПозиции[orderNum],ТабПозиции[[#This Row],[orderNum]])),0),"")</f>
        <v>81</v>
      </c>
      <c r="Q1396">
        <f>IF(OR(ТабПозиции[[#This Row],[item]]="По штрихкоду",ТабПозиции[[#This Row],[item]]="Посылка"),ТабПозиции[[#This Row],[deliverySumm]]+ТабПозиции[[#This Row],[deliveryPost]],SUM(N1396:P1396))</f>
        <v>891</v>
      </c>
      <c r="R1396" s="41">
        <v>891</v>
      </c>
      <c r="S1396" s="46">
        <f>ТабПозиции[[#This Row],[totalSumm]]-ТабПозиции[[#This Row],[payment]]</f>
        <v>0</v>
      </c>
      <c r="T1396" s="18" t="s">
        <v>970</v>
      </c>
      <c r="U1396" s="40" t="s">
        <v>545</v>
      </c>
      <c r="V1396" s="40" t="str">
        <f>IF(AND(ТабПозиции[[#This Row],[Остаток]]=0,ТабПозиции[[#This Row],[Заказан]]="Да"),"Да","Нет")</f>
        <v>Да</v>
      </c>
      <c r="W1396" s="40" t="str">
        <f>IF(AND(ТабПозиции[[#This Row],[Остаток]]=0,ТабПозиции[[#This Row],[Заказан]]="Да"),"Да","Нет")</f>
        <v>Да</v>
      </c>
      <c r="X1396" s="3"/>
      <c r="Y1396"/>
    </row>
    <row r="1397" spans="1:25" hidden="1" x14ac:dyDescent="0.25">
      <c r="A1397" s="10">
        <v>369</v>
      </c>
      <c r="B1397" s="1">
        <f>IFERROR(VLOOKUP(ТабПозиции[[#This Row],[orderNum]],ТабЗаказы[#Data],MATCH(B$7,ТабЗаказы[#Headers],0),0),"")</f>
        <v>45630</v>
      </c>
      <c r="C1397" t="str">
        <f>MONTH(ТабПозиции[[#This Row],[date]])&amp;"/"&amp;YEAR(ТабПозиции[[#This Row],[date]])</f>
        <v>12/2024</v>
      </c>
      <c r="D1397" s="1" t="str">
        <f>IFERROR(VLOOKUP(ТабПозиции[[#This Row],[orderNum]],ТабЗаказы[#Data],MATCH(D$7,ТабЗаказы[#Headers],0),0),"")</f>
        <v/>
      </c>
      <c r="E1397" s="1" t="str">
        <f>IFERROR(VLOOKUP(ТабПозиции[[#This Row],[orderNum]],ТабЗаказы[#Data],MATCH(E$7,ТабЗаказы[#Headers],0),0),"")</f>
        <v/>
      </c>
      <c r="F1397" s="16" t="s">
        <v>1153</v>
      </c>
      <c r="G1397" s="40" t="s">
        <v>545</v>
      </c>
      <c r="I1397" s="18">
        <v>45632</v>
      </c>
      <c r="J1397" s="10">
        <v>1</v>
      </c>
      <c r="K1397" s="10">
        <v>1852</v>
      </c>
      <c r="L1397">
        <f>ТабПозиции[[#This Row],[discountPrice]]*ТабПозиции[[#This Row],[quantity]]</f>
        <v>1852</v>
      </c>
      <c r="M1397" s="10">
        <v>1950</v>
      </c>
      <c r="N1397">
        <f t="shared" si="26"/>
        <v>1950</v>
      </c>
      <c r="P13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Row],[orderNum]],ТабПозиции[orderSumm])&gt;1500),ABS(N1397*VLOOKUP(ТабПозиции[[#This Row],[orderNum]],ТабЗаказы[#Data],MATCH("Percent",ТабЗаказы[#Headers],0),0))/100,200/COUNTIF(ТабПозиции[orderNum],ТабПозиции[[#This Row],[orderNum]])),0),"")</f>
        <v>195</v>
      </c>
      <c r="Q1397">
        <f>IF(OR(ТабПозиции[[#This Row],[item]]="По штрихкоду",ТабПозиции[[#This Row],[item]]="Посылка"),ТабПозиции[[#This Row],[deliverySumm]]+ТабПозиции[[#This Row],[deliveryPost]],SUM(N1397:P1397))</f>
        <v>2145</v>
      </c>
      <c r="R1397" s="41">
        <v>2145</v>
      </c>
      <c r="S1397" s="46">
        <f>ТабПозиции[[#This Row],[totalSumm]]-ТабПозиции[[#This Row],[payment]]</f>
        <v>0</v>
      </c>
      <c r="T1397" s="18" t="s">
        <v>970</v>
      </c>
      <c r="U1397" s="40" t="s">
        <v>545</v>
      </c>
      <c r="V1397" s="40" t="str">
        <f>IF(AND(ТабПозиции[[#This Row],[Остаток]]=0,ТабПозиции[[#This Row],[Заказан]]="Да"),"Да","Нет")</f>
        <v>Да</v>
      </c>
      <c r="W1397" s="40" t="str">
        <f>IF(AND(ТабПозиции[[#This Row],[Остаток]]=0,ТабПозиции[[#This Row],[Заказан]]="Да"),"Да","Нет")</f>
        <v>Да</v>
      </c>
      <c r="X1397" s="3"/>
      <c r="Y1397"/>
    </row>
    <row r="1398" spans="1:25" hidden="1" x14ac:dyDescent="0.25">
      <c r="A1398" s="10">
        <v>369</v>
      </c>
      <c r="B1398" s="1">
        <f>IFERROR(VLOOKUP(ТабПозиции[[#This Row],[orderNum]],ТабЗаказы[#Data],MATCH(B$7,ТабЗаказы[#Headers],0),0),"")</f>
        <v>45630</v>
      </c>
      <c r="C1398" t="str">
        <f>MONTH(ТабПозиции[[#This Row],[date]])&amp;"/"&amp;YEAR(ТабПозиции[[#This Row],[date]])</f>
        <v>12/2024</v>
      </c>
      <c r="D1398" s="1" t="str">
        <f>IFERROR(VLOOKUP(ТабПозиции[[#This Row],[orderNum]],ТабЗаказы[#Data],MATCH(D$7,ТабЗаказы[#Headers],0),0),"")</f>
        <v/>
      </c>
      <c r="E1398" s="1" t="str">
        <f>IFERROR(VLOOKUP(ТабПозиции[[#This Row],[orderNum]],ТабЗаказы[#Data],MATCH(E$7,ТабЗаказы[#Headers],0),0),"")</f>
        <v/>
      </c>
      <c r="F1398" s="16" t="s">
        <v>1588</v>
      </c>
      <c r="G1398" s="40" t="s">
        <v>545</v>
      </c>
      <c r="I1398" s="18">
        <v>45632</v>
      </c>
      <c r="J1398" s="10">
        <v>1</v>
      </c>
      <c r="K1398" s="10">
        <v>744</v>
      </c>
      <c r="L1398">
        <f>ТабПозиции[[#This Row],[discountPrice]]*ТабПозиции[[#This Row],[quantity]]</f>
        <v>744</v>
      </c>
      <c r="M1398" s="10">
        <v>784</v>
      </c>
      <c r="N1398">
        <f t="shared" si="26"/>
        <v>784</v>
      </c>
      <c r="P13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Row],[orderNum]],ТабПозиции[orderSumm])&gt;1500),ABS(N1398*VLOOKUP(ТабПозиции[[#This Row],[orderNum]],ТабЗаказы[#Data],MATCH("Percent",ТабЗаказы[#Headers],0),0))/100,200/COUNTIF(ТабПозиции[orderNum],ТабПозиции[[#This Row],[orderNum]])),0),"")</f>
        <v>78</v>
      </c>
      <c r="Q1398">
        <f>IF(OR(ТабПозиции[[#This Row],[item]]="По штрихкоду",ТабПозиции[[#This Row],[item]]="Посылка"),ТабПозиции[[#This Row],[deliverySumm]]+ТабПозиции[[#This Row],[deliveryPost]],SUM(N1398:P1398))</f>
        <v>862</v>
      </c>
      <c r="R1398" s="41">
        <v>862</v>
      </c>
      <c r="S1398" s="46">
        <f>ТабПозиции[[#This Row],[totalSumm]]-ТабПозиции[[#This Row],[payment]]</f>
        <v>0</v>
      </c>
      <c r="T1398" s="18" t="s">
        <v>970</v>
      </c>
      <c r="U1398" s="40" t="s">
        <v>545</v>
      </c>
      <c r="V1398" s="40" t="str">
        <f>IF(AND(ТабПозиции[[#This Row],[Остаток]]=0,ТабПозиции[[#This Row],[Заказан]]="Да"),"Да","Нет")</f>
        <v>Да</v>
      </c>
      <c r="W1398" s="40" t="str">
        <f>IF(AND(ТабПозиции[[#This Row],[Остаток]]=0,ТабПозиции[[#This Row],[Заказан]]="Да"),"Да","Нет")</f>
        <v>Да</v>
      </c>
      <c r="X1398" s="3"/>
      <c r="Y1398"/>
    </row>
    <row r="1399" spans="1:25" hidden="1" x14ac:dyDescent="0.25">
      <c r="A1399" s="10">
        <v>369</v>
      </c>
      <c r="B1399" s="1">
        <f>IFERROR(VLOOKUP(ТабПозиции[[#This Row],[orderNum]],ТабЗаказы[#Data],MATCH(B$7,ТабЗаказы[#Headers],0),0),"")</f>
        <v>45630</v>
      </c>
      <c r="C1399" t="str">
        <f>MONTH(ТабПозиции[[#This Row],[date]])&amp;"/"&amp;YEAR(ТабПозиции[[#This Row],[date]])</f>
        <v>12/2024</v>
      </c>
      <c r="D1399" s="1" t="str">
        <f>IFERROR(VLOOKUP(ТабПозиции[[#This Row],[orderNum]],ТабЗаказы[#Data],MATCH(D$7,ТабЗаказы[#Headers],0),0),"")</f>
        <v/>
      </c>
      <c r="E1399" s="1" t="str">
        <f>IFERROR(VLOOKUP(ТабПозиции[[#This Row],[orderNum]],ТабЗаказы[#Data],MATCH(E$7,ТабЗаказы[#Headers],0),0),"")</f>
        <v/>
      </c>
      <c r="F1399" s="16" t="s">
        <v>1885</v>
      </c>
      <c r="G1399" s="40" t="s">
        <v>545</v>
      </c>
      <c r="I1399" s="18">
        <v>45632</v>
      </c>
      <c r="J1399" s="10">
        <v>1</v>
      </c>
      <c r="K1399" s="10">
        <v>940</v>
      </c>
      <c r="L1399">
        <f>ТабПозиции[[#This Row],[discountPrice]]*ТабПозиции[[#This Row],[quantity]]</f>
        <v>940</v>
      </c>
      <c r="M1399" s="10">
        <v>990</v>
      </c>
      <c r="N1399">
        <f t="shared" si="26"/>
        <v>990</v>
      </c>
      <c r="P13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Row],[orderNum]],ТабПозиции[orderSumm])&gt;1500),ABS(N1399*VLOOKUP(ТабПозиции[[#This Row],[orderNum]],ТабЗаказы[#Data],MATCH("Percent",ТабЗаказы[#Headers],0),0))/100,200/COUNTIF(ТабПозиции[orderNum],ТабПозиции[[#This Row],[orderNum]])),0),"")</f>
        <v>99</v>
      </c>
      <c r="Q1399">
        <f>IF(OR(ТабПозиции[[#This Row],[item]]="По штрихкоду",ТабПозиции[[#This Row],[item]]="Посылка"),ТабПозиции[[#This Row],[deliverySumm]]+ТабПозиции[[#This Row],[deliveryPost]],SUM(N1399:P1399))</f>
        <v>1089</v>
      </c>
      <c r="R1399" s="41">
        <v>1089</v>
      </c>
      <c r="S1399" s="46">
        <f>ТабПозиции[[#This Row],[totalSumm]]-ТабПозиции[[#This Row],[payment]]</f>
        <v>0</v>
      </c>
      <c r="T1399" s="18" t="s">
        <v>970</v>
      </c>
      <c r="U1399" s="40" t="s">
        <v>545</v>
      </c>
      <c r="V1399" s="40" t="str">
        <f>IF(AND(ТабПозиции[[#This Row],[Остаток]]=0,ТабПозиции[[#This Row],[Заказан]]="Да"),"Да","Нет")</f>
        <v>Да</v>
      </c>
      <c r="W1399" s="40" t="str">
        <f>IF(AND(ТабПозиции[[#This Row],[Остаток]]=0,ТабПозиции[[#This Row],[Заказан]]="Да"),"Да","Нет")</f>
        <v>Да</v>
      </c>
      <c r="X1399" s="3"/>
      <c r="Y1399"/>
    </row>
    <row r="1400" spans="1:25" hidden="1" x14ac:dyDescent="0.25">
      <c r="A1400" s="10">
        <v>369</v>
      </c>
      <c r="B1400" s="1">
        <f>IFERROR(VLOOKUP(ТабПозиции[[#This Row],[orderNum]],ТабЗаказы[#Data],MATCH(B$7,ТабЗаказы[#Headers],0),0),"")</f>
        <v>45630</v>
      </c>
      <c r="C1400" t="str">
        <f>MONTH(ТабПозиции[[#This Row],[date]])&amp;"/"&amp;YEAR(ТабПозиции[[#This Row],[date]])</f>
        <v>12/2024</v>
      </c>
      <c r="D1400" s="1" t="str">
        <f>IFERROR(VLOOKUP(ТабПозиции[[#This Row],[orderNum]],ТабЗаказы[#Data],MATCH(D$7,ТабЗаказы[#Headers],0),0),"")</f>
        <v/>
      </c>
      <c r="E1400" s="1" t="str">
        <f>IFERROR(VLOOKUP(ТабПозиции[[#This Row],[orderNum]],ТабЗаказы[#Data],MATCH(E$7,ТабЗаказы[#Headers],0),0),"")</f>
        <v/>
      </c>
      <c r="F1400" s="16" t="s">
        <v>1933</v>
      </c>
      <c r="G1400" s="40" t="s">
        <v>545</v>
      </c>
      <c r="I1400" s="18">
        <v>45632</v>
      </c>
      <c r="J1400" s="10">
        <v>1</v>
      </c>
      <c r="K1400" s="10">
        <v>342</v>
      </c>
      <c r="L1400">
        <f>ТабПозиции[[#This Row],[discountPrice]]*ТабПозиции[[#This Row],[quantity]]</f>
        <v>342</v>
      </c>
      <c r="M1400" s="10">
        <v>360</v>
      </c>
      <c r="N1400">
        <f t="shared" si="26"/>
        <v>360</v>
      </c>
      <c r="P14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Row],[orderNum]],ТабПозиции[orderSumm])&gt;1500),ABS(N1400*VLOOKUP(ТабПозиции[[#This Row],[orderNum]],ТабЗаказы[#Data],MATCH("Percent",ТабЗаказы[#Headers],0),0))/100,200/COUNTIF(ТабПозиции[orderNum],ТабПозиции[[#This Row],[orderNum]])),0),"")</f>
        <v>36</v>
      </c>
      <c r="Q1400">
        <f>IF(OR(ТабПозиции[[#This Row],[item]]="По штрихкоду",ТабПозиции[[#This Row],[item]]="Посылка"),ТабПозиции[[#This Row],[deliverySumm]]+ТабПозиции[[#This Row],[deliveryPost]],SUM(N1400:P1400))</f>
        <v>396</v>
      </c>
      <c r="R1400" s="41">
        <v>396</v>
      </c>
      <c r="S1400" s="46">
        <f>ТабПозиции[[#This Row],[totalSumm]]-ТабПозиции[[#This Row],[payment]]</f>
        <v>0</v>
      </c>
      <c r="T1400" s="18" t="s">
        <v>970</v>
      </c>
      <c r="U1400" s="40" t="s">
        <v>545</v>
      </c>
      <c r="V1400" s="40" t="str">
        <f>IF(AND(ТабПозиции[[#This Row],[Остаток]]=0,ТабПозиции[[#This Row],[Заказан]]="Да"),"Да","Нет")</f>
        <v>Да</v>
      </c>
      <c r="W1400" s="40" t="str">
        <f>IF(AND(ТабПозиции[[#This Row],[Остаток]]=0,ТабПозиции[[#This Row],[Заказан]]="Да"),"Да","Нет")</f>
        <v>Да</v>
      </c>
      <c r="X1400" s="3"/>
      <c r="Y1400"/>
    </row>
    <row r="1401" spans="1:25" hidden="1" x14ac:dyDescent="0.25">
      <c r="A1401" s="10">
        <v>369</v>
      </c>
      <c r="B1401" s="1">
        <f>IFERROR(VLOOKUP(ТабПозиции[[#This Row],[orderNum]],ТабЗаказы[#Data],MATCH(B$7,ТабЗаказы[#Headers],0),0),"")</f>
        <v>45630</v>
      </c>
      <c r="C1401" t="str">
        <f>MONTH(ТабПозиции[[#This Row],[date]])&amp;"/"&amp;YEAR(ТабПозиции[[#This Row],[date]])</f>
        <v>12/2024</v>
      </c>
      <c r="D1401" s="1" t="str">
        <f>IFERROR(VLOOKUP(ТабПозиции[[#This Row],[orderNum]],ТабЗаказы[#Data],MATCH(D$7,ТабЗаказы[#Headers],0),0),"")</f>
        <v/>
      </c>
      <c r="E1401" s="1" t="str">
        <f>IFERROR(VLOOKUP(ТабПозиции[[#This Row],[orderNum]],ТабЗаказы[#Data],MATCH(E$7,ТабЗаказы[#Headers],0),0),"")</f>
        <v/>
      </c>
      <c r="F1401" s="16" t="s">
        <v>1934</v>
      </c>
      <c r="G1401" s="40" t="s">
        <v>545</v>
      </c>
      <c r="I1401" s="18">
        <v>45632</v>
      </c>
      <c r="J1401" s="10">
        <v>1</v>
      </c>
      <c r="K1401" s="10">
        <v>768</v>
      </c>
      <c r="L1401">
        <f>ТабПозиции[[#This Row],[discountPrice]]*ТабПозиции[[#This Row],[quantity]]</f>
        <v>768</v>
      </c>
      <c r="M1401" s="10">
        <v>809</v>
      </c>
      <c r="N1401">
        <f t="shared" si="26"/>
        <v>809</v>
      </c>
      <c r="P14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Row],[orderNum]],ТабПозиции[orderSumm])&gt;1500),ABS(N1401*VLOOKUP(ТабПозиции[[#This Row],[orderNum]],ТабЗаказы[#Data],MATCH("Percent",ТабЗаказы[#Headers],0),0))/100,200/COUNTIF(ТабПозиции[orderNum],ТабПозиции[[#This Row],[orderNum]])),0),"")</f>
        <v>81</v>
      </c>
      <c r="Q1401">
        <f>IF(OR(ТабПозиции[[#This Row],[item]]="По штрихкоду",ТабПозиции[[#This Row],[item]]="Посылка"),ТабПозиции[[#This Row],[deliverySumm]]+ТабПозиции[[#This Row],[deliveryPost]],SUM(N1401:P1401))</f>
        <v>890</v>
      </c>
      <c r="R1401" s="41">
        <v>890</v>
      </c>
      <c r="S1401" s="46">
        <f>ТабПозиции[[#This Row],[totalSumm]]-ТабПозиции[[#This Row],[payment]]</f>
        <v>0</v>
      </c>
      <c r="T1401" s="18" t="s">
        <v>970</v>
      </c>
      <c r="U1401" s="40" t="s">
        <v>545</v>
      </c>
      <c r="V1401" s="40" t="str">
        <f>IF(AND(ТабПозиции[[#This Row],[Остаток]]=0,ТабПозиции[[#This Row],[Заказан]]="Да"),"Да","Нет")</f>
        <v>Да</v>
      </c>
      <c r="W1401" s="40" t="str">
        <f>IF(AND(ТабПозиции[[#This Row],[Остаток]]=0,ТабПозиции[[#This Row],[Заказан]]="Да"),"Да","Нет")</f>
        <v>Да</v>
      </c>
      <c r="X1401" s="3"/>
      <c r="Y1401"/>
    </row>
    <row r="1402" spans="1:25" hidden="1" x14ac:dyDescent="0.25">
      <c r="A1402" s="10">
        <v>369</v>
      </c>
      <c r="B1402" s="1">
        <f>IFERROR(VLOOKUP(ТабПозиции[[#This Row],[orderNum]],ТабЗаказы[#Data],MATCH(B$7,ТабЗаказы[#Headers],0),0),"")</f>
        <v>45630</v>
      </c>
      <c r="C1402" t="str">
        <f>MONTH(ТабПозиции[[#This Row],[date]])&amp;"/"&amp;YEAR(ТабПозиции[[#This Row],[date]])</f>
        <v>12/2024</v>
      </c>
      <c r="D1402" s="1" t="str">
        <f>IFERROR(VLOOKUP(ТабПозиции[[#This Row],[orderNum]],ТабЗаказы[#Data],MATCH(D$7,ТабЗаказы[#Headers],0),0),"")</f>
        <v/>
      </c>
      <c r="E1402" s="1" t="str">
        <f>IFERROR(VLOOKUP(ТабПозиции[[#This Row],[orderNum]],ТабЗаказы[#Data],MATCH(E$7,ТабЗаказы[#Headers],0),0),"")</f>
        <v/>
      </c>
      <c r="F1402" s="16" t="s">
        <v>1935</v>
      </c>
      <c r="G1402" s="40" t="s">
        <v>545</v>
      </c>
      <c r="I1402" s="18">
        <v>45632</v>
      </c>
      <c r="J1402" s="10">
        <v>1</v>
      </c>
      <c r="K1402" s="10">
        <v>2881</v>
      </c>
      <c r="L1402">
        <f>ТабПозиции[[#This Row],[discountPrice]]*ТабПозиции[[#This Row],[quantity]]</f>
        <v>2881</v>
      </c>
      <c r="M1402" s="10">
        <v>3033</v>
      </c>
      <c r="N1402">
        <f t="shared" si="26"/>
        <v>3033</v>
      </c>
      <c r="P14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Row],[orderNum]],ТабПозиции[orderSumm])&gt;1500),ABS(N1402*VLOOKUP(ТабПозиции[[#This Row],[orderNum]],ТабЗаказы[#Data],MATCH("Percent",ТабЗаказы[#Headers],0),0))/100,200/COUNTIF(ТабПозиции[orderNum],ТабПозиции[[#This Row],[orderNum]])),0),"")</f>
        <v>303</v>
      </c>
      <c r="Q1402">
        <f>IF(OR(ТабПозиции[[#This Row],[item]]="По штрихкоду",ТабПозиции[[#This Row],[item]]="Посылка"),ТабПозиции[[#This Row],[deliverySumm]]+ТабПозиции[[#This Row],[deliveryPost]],SUM(N1402:P1402))</f>
        <v>3336</v>
      </c>
      <c r="R1402" s="41">
        <v>3336</v>
      </c>
      <c r="S1402" s="46">
        <f>ТабПозиции[[#This Row],[totalSumm]]-ТабПозиции[[#This Row],[payment]]</f>
        <v>0</v>
      </c>
      <c r="T1402" s="18" t="s">
        <v>970</v>
      </c>
      <c r="U1402" s="40" t="s">
        <v>545</v>
      </c>
      <c r="V1402" s="40" t="str">
        <f>IF(AND(ТабПозиции[[#This Row],[Остаток]]=0,ТабПозиции[[#This Row],[Заказан]]="Да"),"Да","Нет")</f>
        <v>Да</v>
      </c>
      <c r="W1402" s="40" t="str">
        <f>IF(AND(ТабПозиции[[#This Row],[Остаток]]=0,ТабПозиции[[#This Row],[Заказан]]="Да"),"Да","Нет")</f>
        <v>Да</v>
      </c>
      <c r="X1402" s="3"/>
      <c r="Y1402"/>
    </row>
    <row r="1403" spans="1:25" hidden="1" x14ac:dyDescent="0.25">
      <c r="A1403" s="10">
        <v>370</v>
      </c>
      <c r="B1403" s="1">
        <f>IFERROR(VLOOKUP(ТабПозиции[[#This Row],[orderNum]],ТабЗаказы[#Data],MATCH(B$7,ТабЗаказы[#Headers],0),0),"")</f>
        <v>45630</v>
      </c>
      <c r="C1403" t="str">
        <f>MONTH(ТабПозиции[[#This Row],[date]])&amp;"/"&amp;YEAR(ТабПозиции[[#This Row],[date]])</f>
        <v>12/2024</v>
      </c>
      <c r="D1403" s="1" t="str">
        <f>IFERROR(VLOOKUP(ТабПозиции[[#This Row],[orderNum]],ТабЗаказы[#Data],MATCH(D$7,ТабЗаказы[#Headers],0),0),"")</f>
        <v/>
      </c>
      <c r="E1403" s="1" t="str">
        <f>IFERROR(VLOOKUP(ТабПозиции[[#This Row],[orderNum]],ТабЗаказы[#Data],MATCH(E$7,ТабЗаказы[#Headers],0),0),"")</f>
        <v/>
      </c>
      <c r="F1403" s="16" t="s">
        <v>1936</v>
      </c>
      <c r="G1403" s="40" t="s">
        <v>545</v>
      </c>
      <c r="I1403" s="18">
        <v>45632</v>
      </c>
      <c r="J1403" s="10">
        <v>2</v>
      </c>
      <c r="K1403" s="10">
        <v>1553</v>
      </c>
      <c r="L1403">
        <f>ТабПозиции[[#This Row],[discountPrice]]*ТабПозиции[[#This Row],[quantity]]</f>
        <v>3106</v>
      </c>
      <c r="M1403" s="10">
        <v>1665</v>
      </c>
      <c r="N1403">
        <f t="shared" si="26"/>
        <v>3330</v>
      </c>
      <c r="P14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Row],[orderNum]],ТабПозиции[orderSumm])&gt;1500),ABS(N1403*VLOOKUP(ТабПозиции[[#This Row],[orderNum]],ТабЗаказы[#Data],MATCH("Percent",ТабЗаказы[#Headers],0),0))/100,200/COUNTIF(ТабПозиции[orderNum],ТабПозиции[[#This Row],[orderNum]])),0),"")</f>
        <v>500</v>
      </c>
      <c r="Q1403">
        <f>IF(OR(ТабПозиции[[#This Row],[item]]="По штрихкоду",ТабПозиции[[#This Row],[item]]="Посылка"),ТабПозиции[[#This Row],[deliverySumm]]+ТабПозиции[[#This Row],[deliveryPost]],SUM(N1403:P1403))</f>
        <v>3830</v>
      </c>
      <c r="R1403" s="41">
        <v>3830</v>
      </c>
      <c r="S1403" s="46">
        <f>ТабПозиции[[#This Row],[totalSumm]]-ТабПозиции[[#This Row],[payment]]</f>
        <v>0</v>
      </c>
      <c r="T1403" s="18" t="s">
        <v>960</v>
      </c>
      <c r="U1403" s="40" t="s">
        <v>545</v>
      </c>
      <c r="V1403" s="40" t="str">
        <f>IF(AND(ТабПозиции[[#This Row],[Остаток]]=0,ТабПозиции[[#This Row],[Заказан]]="Да"),"Да","Нет")</f>
        <v>Да</v>
      </c>
      <c r="W1403" s="40" t="str">
        <f>IF(AND(ТабПозиции[[#This Row],[Остаток]]=0,ТабПозиции[[#This Row],[Заказан]]="Да"),"Да","Нет")</f>
        <v>Да</v>
      </c>
      <c r="X1403" s="3"/>
      <c r="Y1403"/>
    </row>
    <row r="1404" spans="1:25" hidden="1" x14ac:dyDescent="0.25">
      <c r="A1404" s="10">
        <v>370</v>
      </c>
      <c r="B1404" s="1">
        <f>IFERROR(VLOOKUP(ТабПозиции[[#This Row],[orderNum]],ТабЗаказы[#Data],MATCH(B$7,ТабЗаказы[#Headers],0),0),"")</f>
        <v>45630</v>
      </c>
      <c r="C1404" t="str">
        <f>MONTH(ТабПозиции[[#This Row],[date]])&amp;"/"&amp;YEAR(ТабПозиции[[#This Row],[date]])</f>
        <v>12/2024</v>
      </c>
      <c r="D1404" s="1" t="str">
        <f>IFERROR(VLOOKUP(ТабПозиции[[#This Row],[orderNum]],ТабЗаказы[#Data],MATCH(D$7,ТабЗаказы[#Headers],0),0),"")</f>
        <v/>
      </c>
      <c r="E1404" s="1" t="str">
        <f>IFERROR(VLOOKUP(ТабПозиции[[#This Row],[orderNum]],ТабЗаказы[#Data],MATCH(E$7,ТабЗаказы[#Headers],0),0),"")</f>
        <v/>
      </c>
      <c r="F1404" s="16" t="s">
        <v>1937</v>
      </c>
      <c r="G1404" s="40" t="s">
        <v>545</v>
      </c>
      <c r="I1404" s="18">
        <v>45635</v>
      </c>
      <c r="J1404" s="10">
        <v>2</v>
      </c>
      <c r="K1404" s="10">
        <v>262</v>
      </c>
      <c r="L1404">
        <f>ТабПозиции[[#This Row],[discountPrice]]*ТабПозиции[[#This Row],[quantity]]</f>
        <v>524</v>
      </c>
      <c r="M1404" s="10">
        <v>267</v>
      </c>
      <c r="N1404">
        <f t="shared" si="26"/>
        <v>534</v>
      </c>
      <c r="P14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Row],[orderNum]],ТабПозиции[orderSumm])&gt;1500),ABS(N1404*VLOOKUP(ТабПозиции[[#This Row],[orderNum]],ТабЗаказы[#Data],MATCH("Percent",ТабЗаказы[#Headers],0),0))/100,200/COUNTIF(ТабПозиции[orderNum],ТабПозиции[[#This Row],[orderNum]])),0),"")</f>
        <v>80</v>
      </c>
      <c r="Q1404">
        <f>IF(OR(ТабПозиции[[#This Row],[item]]="По штрихкоду",ТабПозиции[[#This Row],[item]]="Посылка"),ТабПозиции[[#This Row],[deliverySumm]]+ТабПозиции[[#This Row],[deliveryPost]],SUM(N1404:P1404))</f>
        <v>614</v>
      </c>
      <c r="R1404" s="41">
        <v>614</v>
      </c>
      <c r="S1404" s="46">
        <f>ТабПозиции[[#This Row],[totalSumm]]-ТабПозиции[[#This Row],[payment]]</f>
        <v>0</v>
      </c>
      <c r="T1404" s="18" t="s">
        <v>960</v>
      </c>
      <c r="U1404" s="40" t="s">
        <v>545</v>
      </c>
      <c r="V1404" s="40" t="str">
        <f>IF(AND(ТабПозиции[[#This Row],[Остаток]]=0,ТабПозиции[[#This Row],[Заказан]]="Да"),"Да","Нет")</f>
        <v>Да</v>
      </c>
      <c r="W1404" s="40" t="str">
        <f>IF(AND(ТабПозиции[[#This Row],[Остаток]]=0,ТабПозиции[[#This Row],[Заказан]]="Да"),"Да","Нет")</f>
        <v>Да</v>
      </c>
      <c r="X1404" s="3"/>
      <c r="Y1404"/>
    </row>
    <row r="1405" spans="1:25" hidden="1" x14ac:dyDescent="0.25">
      <c r="A1405" s="10">
        <v>370</v>
      </c>
      <c r="B1405" s="1">
        <f>IFERROR(VLOOKUP(ТабПозиции[[#This Row],[orderNum]],ТабЗаказы[#Data],MATCH(B$7,ТабЗаказы[#Headers],0),0),"")</f>
        <v>45630</v>
      </c>
      <c r="C1405" t="str">
        <f>MONTH(ТабПозиции[[#This Row],[date]])&amp;"/"&amp;YEAR(ТабПозиции[[#This Row],[date]])</f>
        <v>12/2024</v>
      </c>
      <c r="D1405" s="1" t="str">
        <f>IFERROR(VLOOKUP(ТабПозиции[[#This Row],[orderNum]],ТабЗаказы[#Data],MATCH(D$7,ТабЗаказы[#Headers],0),0),"")</f>
        <v/>
      </c>
      <c r="E1405" s="1" t="str">
        <f>IFERROR(VLOOKUP(ТабПозиции[[#This Row],[orderNum]],ТабЗаказы[#Data],MATCH(E$7,ТабЗаказы[#Headers],0),0),"")</f>
        <v/>
      </c>
      <c r="F1405" s="16" t="s">
        <v>1938</v>
      </c>
      <c r="G1405" s="40" t="s">
        <v>545</v>
      </c>
      <c r="I1405" s="18">
        <v>45633</v>
      </c>
      <c r="J1405" s="10">
        <v>1</v>
      </c>
      <c r="K1405" s="10">
        <v>839</v>
      </c>
      <c r="L1405">
        <f>ТабПозиции[[#This Row],[discountPrice]]*ТабПозиции[[#This Row],[quantity]]</f>
        <v>839</v>
      </c>
      <c r="M1405" s="10">
        <v>882</v>
      </c>
      <c r="N1405">
        <f t="shared" si="26"/>
        <v>882</v>
      </c>
      <c r="P14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Row],[orderNum]],ТабПозиции[orderSumm])&gt;1500),ABS(N1405*VLOOKUP(ТабПозиции[[#This Row],[orderNum]],ТабЗаказы[#Data],MATCH("Percent",ТабЗаказы[#Headers],0),0))/100,200/COUNTIF(ТабПозиции[orderNum],ТабПозиции[[#This Row],[orderNum]])),0),"")</f>
        <v>132</v>
      </c>
      <c r="Q1405">
        <f>IF(OR(ТабПозиции[[#This Row],[item]]="По штрихкоду",ТабПозиции[[#This Row],[item]]="Посылка"),ТабПозиции[[#This Row],[deliverySumm]]+ТабПозиции[[#This Row],[deliveryPost]],SUM(N1405:P1405))</f>
        <v>1014</v>
      </c>
      <c r="R1405" s="41">
        <v>1014</v>
      </c>
      <c r="S1405" s="46">
        <f>ТабПозиции[[#This Row],[totalSumm]]-ТабПозиции[[#This Row],[payment]]</f>
        <v>0</v>
      </c>
      <c r="T1405" s="18" t="s">
        <v>960</v>
      </c>
      <c r="U1405" s="40" t="s">
        <v>545</v>
      </c>
      <c r="V1405" s="40" t="str">
        <f>IF(AND(ТабПозиции[[#This Row],[Остаток]]=0,ТабПозиции[[#This Row],[Заказан]]="Да"),"Да","Нет")</f>
        <v>Да</v>
      </c>
      <c r="W1405" s="40" t="str">
        <f>IF(AND(ТабПозиции[[#This Row],[Остаток]]=0,ТабПозиции[[#This Row],[Заказан]]="Да"),"Да","Нет")</f>
        <v>Да</v>
      </c>
      <c r="X1405" s="3"/>
      <c r="Y1405"/>
    </row>
    <row r="1406" spans="1:25" hidden="1" x14ac:dyDescent="0.25">
      <c r="A1406" s="10">
        <v>371</v>
      </c>
      <c r="B1406" s="1">
        <f>IFERROR(VLOOKUP(ТабПозиции[[#This Row],[orderNum]],ТабЗаказы[#Data],MATCH(B$7,ТабЗаказы[#Headers],0),0),"")</f>
        <v>45632</v>
      </c>
      <c r="C1406" t="str">
        <f>MONTH(ТабПозиции[[#This Row],[date]])&amp;"/"&amp;YEAR(ТабПозиции[[#This Row],[date]])</f>
        <v>12/2024</v>
      </c>
      <c r="D1406" s="1" t="str">
        <f>IFERROR(VLOOKUP(ТабПозиции[[#This Row],[orderNum]],ТабЗаказы[#Data],MATCH(D$7,ТабЗаказы[#Headers],0),0),"")</f>
        <v/>
      </c>
      <c r="E1406" s="1" t="str">
        <f>IFERROR(VLOOKUP(ТабПозиции[[#This Row],[orderNum]],ТабЗаказы[#Data],MATCH(E$7,ТабЗаказы[#Headers],0),0),"")</f>
        <v/>
      </c>
      <c r="F1406" s="16" t="s">
        <v>1939</v>
      </c>
      <c r="G1406" s="40" t="s">
        <v>545</v>
      </c>
      <c r="I1406" s="18">
        <v>45635</v>
      </c>
      <c r="J1406" s="10">
        <v>1</v>
      </c>
      <c r="K1406" s="10">
        <v>21321</v>
      </c>
      <c r="L1406">
        <f>ТабПозиции[[#This Row],[discountPrice]]*ТабПозиции[[#This Row],[quantity]]</f>
        <v>21321</v>
      </c>
      <c r="M1406" s="10">
        <v>22789</v>
      </c>
      <c r="N1406">
        <f t="shared" si="26"/>
        <v>22789</v>
      </c>
      <c r="P14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Row],[orderNum]],ТабПозиции[orderSumm])&gt;1500),ABS(N1406*VLOOKUP(ТабПозиции[[#This Row],[orderNum]],ТабЗаказы[#Data],MATCH("Percent",ТабЗаказы[#Headers],0),0))/100,200/COUNTIF(ТабПозиции[orderNum],ТабПозиции[[#This Row],[orderNum]])),0),"")</f>
        <v>2279</v>
      </c>
      <c r="Q1406">
        <f>IF(OR(ТабПозиции[[#This Row],[item]]="По штрихкоду",ТабПозиции[[#This Row],[item]]="Посылка"),ТабПозиции[[#This Row],[deliverySumm]]+ТабПозиции[[#This Row],[deliveryPost]],SUM(N1406:P1406))</f>
        <v>25068</v>
      </c>
      <c r="R1406" s="41">
        <v>25068</v>
      </c>
      <c r="S1406" s="46">
        <f>ТабПозиции[[#This Row],[totalSumm]]-ТабПозиции[[#This Row],[payment]]</f>
        <v>0</v>
      </c>
      <c r="T1406" s="18" t="s">
        <v>960</v>
      </c>
      <c r="U1406" s="40" t="s">
        <v>545</v>
      </c>
      <c r="V1406" s="40" t="str">
        <f>IF(AND(ТабПозиции[[#This Row],[Остаток]]=0,ТабПозиции[[#This Row],[Заказан]]="Да"),"Да","Нет")</f>
        <v>Да</v>
      </c>
      <c r="W1406" s="40" t="s">
        <v>545</v>
      </c>
      <c r="X1406" s="3"/>
      <c r="Y1406"/>
    </row>
    <row r="1407" spans="1:25" hidden="1" x14ac:dyDescent="0.25">
      <c r="A1407" s="10">
        <v>372</v>
      </c>
      <c r="B1407" s="1">
        <f>IFERROR(VLOOKUP(ТабПозиции[[#This Row],[orderNum]],ТабЗаказы[#Data],MATCH(B$7,ТабЗаказы[#Headers],0),0),"")</f>
        <v>45632</v>
      </c>
      <c r="C1407" t="str">
        <f>MONTH(ТабПозиции[[#This Row],[date]])&amp;"/"&amp;YEAR(ТабПозиции[[#This Row],[date]])</f>
        <v>12/2024</v>
      </c>
      <c r="D1407" s="1" t="str">
        <f>IFERROR(VLOOKUP(ТабПозиции[[#This Row],[orderNum]],ТабЗаказы[#Data],MATCH(D$7,ТабЗаказы[#Headers],0),0),"")</f>
        <v/>
      </c>
      <c r="E1407" s="1" t="str">
        <f>IFERROR(VLOOKUP(ТабПозиции[[#This Row],[orderNum]],ТабЗаказы[#Data],MATCH(E$7,ТабЗаказы[#Headers],0),0),"")</f>
        <v/>
      </c>
      <c r="F1407" s="10" t="s">
        <v>32</v>
      </c>
      <c r="G1407" s="40" t="s">
        <v>545</v>
      </c>
      <c r="I1407" s="18">
        <v>45632</v>
      </c>
      <c r="J1407" s="10">
        <v>1</v>
      </c>
      <c r="K1407" s="10">
        <v>54592</v>
      </c>
      <c r="L1407">
        <f>ТабПозиции[[#This Row],[discountPrice]]*ТабПозиции[[#This Row],[quantity]]</f>
        <v>54592</v>
      </c>
      <c r="M1407" s="10">
        <v>54592</v>
      </c>
      <c r="N1407">
        <f t="shared" si="26"/>
        <v>54592</v>
      </c>
      <c r="P14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Row],[orderNum]],ТабПозиции[orderSumm])&gt;1500),ABS(N1407*VLOOKUP(ТабПозиции[[#This Row],[orderNum]],ТабЗаказы[#Data],MATCH("Percent",ТабЗаказы[#Headers],0),0))/100,200/COUNTIF(ТабПозиции[orderNum],ТабПозиции[[#This Row],[orderNum]])),0),"")</f>
        <v>5459</v>
      </c>
      <c r="Q1407">
        <f>IF(OR(ТабПозиции[[#This Row],[item]]="По штрихкоду",ТабПозиции[[#This Row],[item]]="Посылка"),ТабПозиции[[#This Row],[deliverySumm]]+ТабПозиции[[#This Row],[deliveryPost]],SUM(N1407:P1407))</f>
        <v>5459</v>
      </c>
      <c r="R1407" s="41">
        <v>5459</v>
      </c>
      <c r="S1407" s="46">
        <f>ТабПозиции[[#This Row],[totalSumm]]-ТабПозиции[[#This Row],[payment]]</f>
        <v>0</v>
      </c>
      <c r="T1407" s="18" t="s">
        <v>960</v>
      </c>
      <c r="U1407" s="40" t="s">
        <v>545</v>
      </c>
      <c r="V1407" s="40" t="str">
        <f>IF(AND(ТабПозиции[[#This Row],[Остаток]]=0,ТабПозиции[[#This Row],[Заказан]]="Да"),"Да","Нет")</f>
        <v>Да</v>
      </c>
      <c r="W1407" s="40" t="str">
        <f>IF(AND(ТабПозиции[[#This Row],[Остаток]]=0,ТабПозиции[[#This Row],[Заказан]]="Да"),"Да","Нет")</f>
        <v>Да</v>
      </c>
      <c r="X1407" s="3"/>
      <c r="Y1407"/>
    </row>
    <row r="1408" spans="1:25" hidden="1" x14ac:dyDescent="0.25">
      <c r="A1408" s="10">
        <v>373</v>
      </c>
      <c r="B1408" s="1">
        <f>IFERROR(VLOOKUP(ТабПозиции[[#This Row],[orderNum]],ТабЗаказы[#Data],MATCH(B$7,ТабЗаказы[#Headers],0),0),"")</f>
        <v>45632</v>
      </c>
      <c r="C1408" t="str">
        <f>MONTH(ТабПозиции[[#This Row],[date]])&amp;"/"&amp;YEAR(ТабПозиции[[#This Row],[date]])</f>
        <v>12/2024</v>
      </c>
      <c r="D1408" s="1" t="str">
        <f>IFERROR(VLOOKUP(ТабПозиции[[#This Row],[orderNum]],ТабЗаказы[#Data],MATCH(D$7,ТабЗаказы[#Headers],0),0),"")</f>
        <v/>
      </c>
      <c r="E1408" s="1" t="str">
        <f>IFERROR(VLOOKUP(ТабПозиции[[#This Row],[orderNum]],ТабЗаказы[#Data],MATCH(E$7,ТабЗаказы[#Headers],0),0),"")</f>
        <v/>
      </c>
      <c r="F1408" s="10" t="s">
        <v>32</v>
      </c>
      <c r="G1408" s="40" t="s">
        <v>545</v>
      </c>
      <c r="I1408" s="18">
        <v>45632</v>
      </c>
      <c r="J1408" s="10">
        <v>1</v>
      </c>
      <c r="K1408" s="10">
        <v>2752</v>
      </c>
      <c r="L1408">
        <f>ТабПозиции[[#This Row],[discountPrice]]*ТабПозиции[[#This Row],[quantity]]</f>
        <v>2752</v>
      </c>
      <c r="M1408" s="10">
        <v>2752</v>
      </c>
      <c r="N1408">
        <f t="shared" si="26"/>
        <v>2752</v>
      </c>
      <c r="P14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Row],[orderNum]],ТабПозиции[orderSumm])&gt;1500),ABS(N1408*VLOOKUP(ТабПозиции[[#This Row],[orderNum]],ТабЗаказы[#Data],MATCH("Percent",ТабЗаказы[#Headers],0),0))/100,200/COUNTIF(ТабПозиции[orderNum],ТабПозиции[[#This Row],[orderNum]])),0),"")</f>
        <v>413</v>
      </c>
      <c r="Q1408">
        <f>IF(OR(ТабПозиции[[#This Row],[item]]="По штрихкоду",ТабПозиции[[#This Row],[item]]="Посылка"),ТабПозиции[[#This Row],[deliverySumm]]+ТабПозиции[[#This Row],[deliveryPost]],SUM(N1408:P1408))</f>
        <v>413</v>
      </c>
      <c r="R1408" s="41">
        <v>413</v>
      </c>
      <c r="S1408" s="46">
        <f>ТабПозиции[[#This Row],[totalSumm]]-ТабПозиции[[#This Row],[payment]]</f>
        <v>0</v>
      </c>
      <c r="T1408" s="18" t="s">
        <v>960</v>
      </c>
      <c r="U1408" s="40" t="s">
        <v>545</v>
      </c>
      <c r="V1408" s="40" t="str">
        <f>IF(AND(ТабПозиции[[#This Row],[Остаток]]=0,ТабПозиции[[#This Row],[Заказан]]="Да"),"Да","Нет")</f>
        <v>Да</v>
      </c>
      <c r="W1408" s="40" t="s">
        <v>545</v>
      </c>
      <c r="X1408" s="3"/>
      <c r="Y1408"/>
    </row>
    <row r="1409" spans="1:25" hidden="1" x14ac:dyDescent="0.25">
      <c r="A1409" s="10">
        <v>374</v>
      </c>
      <c r="B1409" s="1">
        <f>IFERROR(VLOOKUP(ТабПозиции[[#This Row],[orderNum]],ТабЗаказы[#Data],MATCH(B$7,ТабЗаказы[#Headers],0),0),"")</f>
        <v>45632</v>
      </c>
      <c r="C1409" t="str">
        <f>MONTH(ТабПозиции[[#This Row],[date]])&amp;"/"&amp;YEAR(ТабПозиции[[#This Row],[date]])</f>
        <v>12/2024</v>
      </c>
      <c r="D1409" s="1" t="str">
        <f>IFERROR(VLOOKUP(ТабПозиции[[#This Row],[orderNum]],ТабЗаказы[#Data],MATCH(D$7,ТабЗаказы[#Headers],0),0),"")</f>
        <v/>
      </c>
      <c r="E1409" s="1" t="str">
        <f>IFERROR(VLOOKUP(ТабПозиции[[#This Row],[orderNum]],ТабЗаказы[#Data],MATCH(E$7,ТабЗаказы[#Headers],0),0),"")</f>
        <v/>
      </c>
      <c r="F1409" s="10" t="s">
        <v>32</v>
      </c>
      <c r="G1409" s="40" t="s">
        <v>545</v>
      </c>
      <c r="I1409" s="18">
        <v>45632</v>
      </c>
      <c r="J1409" s="10">
        <v>1</v>
      </c>
      <c r="K1409" s="10">
        <f>1281+1927+3406</f>
        <v>6614</v>
      </c>
      <c r="L1409">
        <f>ТабПозиции[[#This Row],[discountPrice]]*ТабПозиции[[#This Row],[quantity]]</f>
        <v>6614</v>
      </c>
      <c r="M1409" s="10">
        <v>6614</v>
      </c>
      <c r="N1409">
        <f t="shared" si="26"/>
        <v>6614</v>
      </c>
      <c r="O1409" s="10">
        <v>200</v>
      </c>
      <c r="P14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Row],[orderNum]],ТабПозиции[orderSumm])&gt;1500),ABS(N1409*VLOOKUP(ТабПозиции[[#This Row],[orderNum]],ТабЗаказы[#Data],MATCH("Percent",ТабЗаказы[#Headers],0),0))/100,200/COUNTIF(ТабПозиции[orderNum],ТабПозиции[[#This Row],[orderNum]])),0),"")</f>
        <v>992</v>
      </c>
      <c r="Q1409">
        <f>IF(OR(ТабПозиции[[#This Row],[item]]="По штрихкоду",ТабПозиции[[#This Row],[item]]="Посылка"),ТабПозиции[[#This Row],[deliverySumm]]+ТабПозиции[[#This Row],[deliveryPost]],SUM(N1409:P1409))</f>
        <v>1192</v>
      </c>
      <c r="R1409" s="41">
        <v>1192</v>
      </c>
      <c r="S1409" s="46">
        <f>ТабПозиции[[#This Row],[totalSumm]]-ТабПозиции[[#This Row],[payment]]</f>
        <v>0</v>
      </c>
      <c r="T1409" s="18" t="s">
        <v>960</v>
      </c>
      <c r="U1409" s="40" t="s">
        <v>545</v>
      </c>
      <c r="V1409" s="40" t="s">
        <v>545</v>
      </c>
      <c r="W1409" s="40" t="s">
        <v>545</v>
      </c>
      <c r="X1409" s="3"/>
      <c r="Y1409"/>
    </row>
    <row r="1410" spans="1:25" hidden="1" x14ac:dyDescent="0.25">
      <c r="A1410" s="10">
        <v>375</v>
      </c>
      <c r="B1410" s="1">
        <f>IFERROR(VLOOKUP(ТабПозиции[[#This Row],[orderNum]],ТабЗаказы[#Data],MATCH(B$7,ТабЗаказы[#Headers],0),0),"")</f>
        <v>45632</v>
      </c>
      <c r="C1410" t="str">
        <f>MONTH(ТабПозиции[[#This Row],[date]])&amp;"/"&amp;YEAR(ТабПозиции[[#This Row],[date]])</f>
        <v>12/2024</v>
      </c>
      <c r="D1410" s="1" t="str">
        <f>IFERROR(VLOOKUP(ТабПозиции[[#This Row],[orderNum]],ТабЗаказы[#Data],MATCH(D$7,ТабЗаказы[#Headers],0),0),"")</f>
        <v/>
      </c>
      <c r="E1410" s="1" t="str">
        <f>IFERROR(VLOOKUP(ТабПозиции[[#This Row],[orderNum]],ТабЗаказы[#Data],MATCH(E$7,ТабЗаказы[#Headers],0),0),"")</f>
        <v/>
      </c>
      <c r="F1410" s="10" t="s">
        <v>32</v>
      </c>
      <c r="G1410" s="40" t="s">
        <v>545</v>
      </c>
      <c r="I1410" s="18">
        <v>45632</v>
      </c>
      <c r="J1410" s="10">
        <v>1</v>
      </c>
      <c r="K1410" s="10">
        <v>3084</v>
      </c>
      <c r="L1410">
        <f>ТабПозиции[[#This Row],[discountPrice]]*ТабПозиции[[#This Row],[quantity]]</f>
        <v>3084</v>
      </c>
      <c r="M1410" s="10">
        <v>3084</v>
      </c>
      <c r="N1410">
        <f t="shared" si="26"/>
        <v>3084</v>
      </c>
      <c r="P14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Row],[orderNum]],ТабПозиции[orderSumm])&gt;1500),ABS(N1410*VLOOKUP(ТабПозиции[[#This Row],[orderNum]],ТабЗаказы[#Data],MATCH("Percent",ТабЗаказы[#Headers],0),0))/100,200/COUNTIF(ТабПозиции[orderNum],ТабПозиции[[#This Row],[orderNum]])),0),"")</f>
        <v>463</v>
      </c>
      <c r="Q1410">
        <f>IF(OR(ТабПозиции[[#This Row],[item]]="По штрихкоду",ТабПозиции[[#This Row],[item]]="Посылка"),ТабПозиции[[#This Row],[deliverySumm]]+ТабПозиции[[#This Row],[deliveryPost]],SUM(N1410:P1410))</f>
        <v>463</v>
      </c>
      <c r="R1410" s="41">
        <v>463</v>
      </c>
      <c r="S1410" s="46">
        <f>ТабПозиции[[#This Row],[totalSumm]]-ТабПозиции[[#This Row],[payment]]</f>
        <v>0</v>
      </c>
      <c r="T1410" s="18" t="s">
        <v>960</v>
      </c>
      <c r="U1410" s="40" t="s">
        <v>545</v>
      </c>
      <c r="V1410" s="40" t="str">
        <f>IF(AND(ТабПозиции[[#This Row],[Остаток]]=0,ТабПозиции[[#This Row],[Заказан]]="Да"),"Да","Нет")</f>
        <v>Да</v>
      </c>
      <c r="W1410" s="40" t="s">
        <v>545</v>
      </c>
      <c r="X1410" s="3"/>
      <c r="Y1410"/>
    </row>
    <row r="1411" spans="1:25" hidden="1" x14ac:dyDescent="0.25">
      <c r="A1411" s="10">
        <v>376</v>
      </c>
      <c r="B1411" s="1">
        <f>IFERROR(VLOOKUP(ТабПозиции[[#This Row],[orderNum]],ТабЗаказы[#Data],MATCH(B$7,ТабЗаказы[#Headers],0),0),"")</f>
        <v>45632</v>
      </c>
      <c r="C1411" t="str">
        <f>MONTH(ТабПозиции[[#This Row],[date]])&amp;"/"&amp;YEAR(ТабПозиции[[#This Row],[date]])</f>
        <v>12/2024</v>
      </c>
      <c r="D1411" s="1" t="str">
        <f>IFERROR(VLOOKUP(ТабПозиции[[#This Row],[orderNum]],ТабЗаказы[#Data],MATCH(D$7,ТабЗаказы[#Headers],0),0),"")</f>
        <v/>
      </c>
      <c r="E1411" s="1" t="str">
        <f>IFERROR(VLOOKUP(ТабПозиции[[#This Row],[orderNum]],ТабЗаказы[#Data],MATCH(E$7,ТабЗаказы[#Headers],0),0),"")</f>
        <v/>
      </c>
      <c r="F1411" s="51" t="s">
        <v>1940</v>
      </c>
      <c r="G1411" s="40" t="s">
        <v>545</v>
      </c>
      <c r="I1411" s="18">
        <v>45641</v>
      </c>
      <c r="J1411" s="10">
        <v>1</v>
      </c>
      <c r="K1411" s="10">
        <v>1810</v>
      </c>
      <c r="L1411">
        <f>ТабПозиции[[#This Row],[discountPrice]]*ТабПозиции[[#This Row],[quantity]]</f>
        <v>1810</v>
      </c>
      <c r="M1411" s="10">
        <v>1945</v>
      </c>
      <c r="N1411">
        <f t="shared" si="26"/>
        <v>1945</v>
      </c>
      <c r="P14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Row],[orderNum]],ТабПозиции[orderSumm])&gt;1500),ABS(N1411*VLOOKUP(ТабПозиции[[#This Row],[orderNum]],ТабЗаказы[#Data],MATCH("Percent",ТабЗаказы[#Headers],0),0))/100,200/COUNTIF(ТабПозиции[orderNum],ТабПозиции[[#This Row],[orderNum]])),0),"")</f>
        <v>292</v>
      </c>
      <c r="Q1411">
        <f>IF(OR(ТабПозиции[[#This Row],[item]]="По штрихкоду",ТабПозиции[[#This Row],[item]]="Посылка"),ТабПозиции[[#This Row],[deliverySumm]]+ТабПозиции[[#This Row],[deliveryPost]],SUM(N1411:P1411))</f>
        <v>2237</v>
      </c>
      <c r="R1411" s="41">
        <v>2237</v>
      </c>
      <c r="S1411" s="46">
        <f>ТабПозиции[[#This Row],[totalSumm]]-ТабПозиции[[#This Row],[payment]]</f>
        <v>0</v>
      </c>
      <c r="T1411" s="18" t="s">
        <v>960</v>
      </c>
      <c r="U1411" s="40" t="s">
        <v>545</v>
      </c>
      <c r="V1411" s="40" t="str">
        <f>IF(AND(ТабПозиции[[#This Row],[Остаток]]=0,ТабПозиции[[#This Row],[Заказан]]="Да"),"Да","Нет")</f>
        <v>Да</v>
      </c>
      <c r="W1411" s="40" t="s">
        <v>545</v>
      </c>
      <c r="X1411" s="3"/>
      <c r="Y1411"/>
    </row>
    <row r="1412" spans="1:25" hidden="1" x14ac:dyDescent="0.25">
      <c r="A1412" s="10">
        <v>377</v>
      </c>
      <c r="B1412" s="1">
        <f>IFERROR(VLOOKUP(ТабПозиции[[#This Row],[orderNum]],ТабЗаказы[#Data],MATCH(B$7,ТабЗаказы[#Headers],0),0),"")</f>
        <v>45632</v>
      </c>
      <c r="C1412" t="str">
        <f>MONTH(ТабПозиции[[#This Row],[date]])&amp;"/"&amp;YEAR(ТабПозиции[[#This Row],[date]])</f>
        <v>12/2024</v>
      </c>
      <c r="D1412" s="1" t="str">
        <f>IFERROR(VLOOKUP(ТабПозиции[[#This Row],[orderNum]],ТабЗаказы[#Data],MATCH(D$7,ТабЗаказы[#Headers],0),0),"")</f>
        <v/>
      </c>
      <c r="E1412" s="1" t="str">
        <f>IFERROR(VLOOKUP(ТабПозиции[[#This Row],[orderNum]],ТабЗаказы[#Data],MATCH(E$7,ТабЗаказы[#Headers],0),0),"")</f>
        <v/>
      </c>
      <c r="F1412" s="16" t="s">
        <v>1941</v>
      </c>
      <c r="G1412" s="40" t="s">
        <v>545</v>
      </c>
      <c r="H1412" s="12" t="s">
        <v>1942</v>
      </c>
      <c r="I1412" s="18">
        <v>45639</v>
      </c>
      <c r="J1412" s="10">
        <v>1</v>
      </c>
      <c r="K1412" s="10">
        <v>1500</v>
      </c>
      <c r="L1412">
        <f>ТабПозиции[[#This Row],[discountPrice]]*ТабПозиции[[#This Row],[quantity]]</f>
        <v>1500</v>
      </c>
      <c r="M1412" s="10">
        <v>1500</v>
      </c>
      <c r="N1412">
        <f t="shared" si="26"/>
        <v>1500</v>
      </c>
      <c r="O1412" s="10">
        <v>1494</v>
      </c>
      <c r="P14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Row],[orderNum]],ТабПозиции[orderSumm])&gt;1500),ABS(N1412*VLOOKUP(ТабПозиции[[#This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412">
        <f>IF(OR(ТабПозиции[[#This Row],[item]]="По штрихкоду",ТабПозиции[[#This Row],[item]]="Посылка"),ТабПозиции[[#This Row],[deliverySumm]]+ТабПозиции[[#This Row],[deliveryPost]],SUM(N1412:P1412))</f>
        <v>3194</v>
      </c>
      <c r="R1412" s="41">
        <v>3194</v>
      </c>
      <c r="S1412" s="46">
        <f>ТабПозиции[[#This Row],[totalSumm]]-ТабПозиции[[#This Row],[payment]]</f>
        <v>0</v>
      </c>
      <c r="T1412" s="18" t="s">
        <v>1021</v>
      </c>
      <c r="U1412" s="40" t="s">
        <v>545</v>
      </c>
      <c r="V1412" s="40" t="str">
        <f>IF(AND(ТабПозиции[[#This Row],[Остаток]]=0,ТабПозиции[[#This Row],[Заказан]]="Да"),"Да","Нет")</f>
        <v>Да</v>
      </c>
      <c r="W1412" s="40" t="str">
        <f>IF(AND(ТабПозиции[[#This Row],[Остаток]]=0,ТабПозиции[[#This Row],[Заказан]]="Да"),"Да","Нет")</f>
        <v>Да</v>
      </c>
      <c r="X1412" s="3"/>
      <c r="Y1412"/>
    </row>
    <row r="1413" spans="1:25" hidden="1" x14ac:dyDescent="0.25">
      <c r="A1413" s="10">
        <v>378</v>
      </c>
      <c r="B1413" s="1">
        <f>IFERROR(VLOOKUP(ТабПозиции[[#This Row],[orderNum]],ТабЗаказы[#Data],MATCH(B$7,ТабЗаказы[#Headers],0),0),"")</f>
        <v>45632</v>
      </c>
      <c r="C1413" t="str">
        <f>MONTH(ТабПозиции[[#This Row],[date]])&amp;"/"&amp;YEAR(ТабПозиции[[#This Row],[date]])</f>
        <v>12/2024</v>
      </c>
      <c r="D1413" s="1" t="str">
        <f>IFERROR(VLOOKUP(ТабПозиции[[#This Row],[orderNum]],ТабЗаказы[#Data],MATCH(D$7,ТабЗаказы[#Headers],0),0),"")</f>
        <v/>
      </c>
      <c r="E1413" s="1" t="str">
        <f>IFERROR(VLOOKUP(ТабПозиции[[#This Row],[orderNum]],ТабЗаказы[#Data],MATCH(E$7,ТабЗаказы[#Headers],0),0),"")</f>
        <v/>
      </c>
      <c r="F1413" s="16" t="s">
        <v>1915</v>
      </c>
      <c r="G1413" s="40" t="s">
        <v>545</v>
      </c>
      <c r="I1413" s="18">
        <v>45634</v>
      </c>
      <c r="J1413" s="10">
        <v>1</v>
      </c>
      <c r="K1413" s="10">
        <v>409</v>
      </c>
      <c r="L1413">
        <f>ТабПозиции[[#This Row],[discountPrice]]*ТабПозиции[[#This Row],[quantity]]</f>
        <v>409</v>
      </c>
      <c r="M1413" s="10">
        <v>439</v>
      </c>
      <c r="N1413">
        <f t="shared" si="26"/>
        <v>439</v>
      </c>
      <c r="P14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Row],[orderNum]],ТабПозиции[orderSumm])&gt;1500),ABS(N1413*VLOOKUP(ТабПозиции[[#This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413">
        <f>IF(OR(ТабПозиции[[#This Row],[item]]="По штрихкоду",ТабПозиции[[#This Row],[item]]="Посылка"),ТабПозиции[[#This Row],[deliverySumm]]+ТабПозиции[[#This Row],[deliveryPost]],SUM(N1413:P1413))</f>
        <v>505</v>
      </c>
      <c r="R1413" s="41">
        <v>505</v>
      </c>
      <c r="S1413" s="46">
        <f>ТабПозиции[[#This Row],[totalSumm]]-ТабПозиции[[#This Row],[payment]]</f>
        <v>0</v>
      </c>
      <c r="T1413" s="18" t="s">
        <v>960</v>
      </c>
      <c r="U1413" s="40" t="s">
        <v>545</v>
      </c>
      <c r="V1413" s="40" t="str">
        <f>IF(AND(ТабПозиции[[#This Row],[Остаток]]=0,ТабПозиции[[#This Row],[Заказан]]="Да"),"Да","Нет")</f>
        <v>Да</v>
      </c>
      <c r="W1413" s="40" t="str">
        <f>IF(AND(ТабПозиции[[#This Row],[Остаток]]=0,ТабПозиции[[#This Row],[Заказан]]="Да"),"Да","Нет")</f>
        <v>Да</v>
      </c>
      <c r="X1413" s="3"/>
      <c r="Y1413"/>
    </row>
    <row r="1414" spans="1:25" hidden="1" x14ac:dyDescent="0.25">
      <c r="A1414" s="10">
        <v>378</v>
      </c>
      <c r="B1414" s="1">
        <f>IFERROR(VLOOKUP(ТабПозиции[[#This Row],[orderNum]],ТабЗаказы[#Data],MATCH(B$7,ТабЗаказы[#Headers],0),0),"")</f>
        <v>45632</v>
      </c>
      <c r="C1414" t="str">
        <f>MONTH(ТабПозиции[[#This Row],[date]])&amp;"/"&amp;YEAR(ТабПозиции[[#This Row],[date]])</f>
        <v>12/2024</v>
      </c>
      <c r="D1414" s="1" t="str">
        <f>IFERROR(VLOOKUP(ТабПозиции[[#This Row],[orderNum]],ТабЗаказы[#Data],MATCH(D$7,ТабЗаказы[#Headers],0),0),"")</f>
        <v/>
      </c>
      <c r="E1414" s="1" t="str">
        <f>IFERROR(VLOOKUP(ТабПозиции[[#This Row],[orderNum]],ТабЗаказы[#Data],MATCH(E$7,ТабЗаказы[#Headers],0),0),"")</f>
        <v/>
      </c>
      <c r="F1414" s="16" t="s">
        <v>1721</v>
      </c>
      <c r="G1414" s="40" t="s">
        <v>545</v>
      </c>
      <c r="I1414" s="18">
        <v>45633</v>
      </c>
      <c r="J1414" s="10">
        <v>1</v>
      </c>
      <c r="K1414" s="10">
        <v>998</v>
      </c>
      <c r="L1414">
        <f>ТабПозиции[[#This Row],[discountPrice]]*ТабПозиции[[#This Row],[quantity]]</f>
        <v>998</v>
      </c>
      <c r="M1414" s="10">
        <v>1039</v>
      </c>
      <c r="N1414">
        <f t="shared" si="26"/>
        <v>1039</v>
      </c>
      <c r="P14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Row],[orderNum]],ТабПозиции[orderSumm])&gt;1500),ABS(N1414*VLOOKUP(ТабПозиции[[#This Row],[orderNum]],ТабЗаказы[#Data],MATCH("Percent",ТабЗаказы[#Headers],0),0))/100,200/COUNTIF(ТабПозиции[orderNum],ТабПозиции[[#This Row],[orderNum]])),0),"")</f>
        <v>156</v>
      </c>
      <c r="Q1414">
        <f>IF(OR(ТабПозиции[[#This Row],[item]]="По штрихкоду",ТабПозиции[[#This Row],[item]]="Посылка"),ТабПозиции[[#This Row],[deliverySumm]]+ТабПозиции[[#This Row],[deliveryPost]],SUM(N1414:P1414))</f>
        <v>1195</v>
      </c>
      <c r="R1414" s="41">
        <v>1195</v>
      </c>
      <c r="S1414" s="46">
        <f>ТабПозиции[[#This Row],[totalSumm]]-ТабПозиции[[#This Row],[payment]]</f>
        <v>0</v>
      </c>
      <c r="T1414" s="18" t="s">
        <v>960</v>
      </c>
      <c r="U1414" s="40" t="s">
        <v>545</v>
      </c>
      <c r="V1414" s="40" t="str">
        <f>IF(AND(ТабПозиции[[#This Row],[Остаток]]=0,ТабПозиции[[#This Row],[Заказан]]="Да"),"Да","Нет")</f>
        <v>Да</v>
      </c>
      <c r="W1414" s="40" t="str">
        <f>IF(AND(ТабПозиции[[#This Row],[Остаток]]=0,ТабПозиции[[#This Row],[Заказан]]="Да"),"Да","Нет")</f>
        <v>Да</v>
      </c>
      <c r="X1414" s="3"/>
      <c r="Y1414"/>
    </row>
    <row r="1415" spans="1:25" hidden="1" x14ac:dyDescent="0.25">
      <c r="A1415" s="10">
        <v>378</v>
      </c>
      <c r="B1415" s="1">
        <f>IFERROR(VLOOKUP(ТабПозиции[[#This Row],[orderNum]],ТабЗаказы[#Data],MATCH(B$7,ТабЗаказы[#Headers],0),0),"")</f>
        <v>45632</v>
      </c>
      <c r="C1415" t="str">
        <f>MONTH(ТабПозиции[[#This Row],[date]])&amp;"/"&amp;YEAR(ТабПозиции[[#This Row],[date]])</f>
        <v>12/2024</v>
      </c>
      <c r="D1415" s="1" t="str">
        <f>IFERROR(VLOOKUP(ТабПозиции[[#This Row],[orderNum]],ТабЗаказы[#Data],MATCH(D$7,ТабЗаказы[#Headers],0),0),"")</f>
        <v/>
      </c>
      <c r="E1415" s="1" t="str">
        <f>IFERROR(VLOOKUP(ТабПозиции[[#This Row],[orderNum]],ТабЗаказы[#Data],MATCH(E$7,ТабЗаказы[#Headers],0),0),"")</f>
        <v/>
      </c>
      <c r="F1415" s="16" t="s">
        <v>1946</v>
      </c>
      <c r="G1415" s="40" t="s">
        <v>545</v>
      </c>
      <c r="I1415" s="18">
        <v>45633</v>
      </c>
      <c r="J1415" s="10">
        <v>1</v>
      </c>
      <c r="K1415" s="10">
        <v>379</v>
      </c>
      <c r="L1415">
        <f>ТабПозиции[[#This Row],[discountPrice]]*ТабПозиции[[#This Row],[quantity]]</f>
        <v>379</v>
      </c>
      <c r="M1415" s="10">
        <v>406</v>
      </c>
      <c r="N1415">
        <f t="shared" si="26"/>
        <v>406</v>
      </c>
      <c r="P14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Row],[orderNum]],ТабПозиции[orderSumm])&gt;1500),ABS(N1415*VLOOKUP(ТабПозиции[[#This Row],[orderNum]],ТабЗаказы[#Data],MATCH("Percent",ТабЗаказы[#Headers],0),0))/100,200/COUNTIF(ТабПозиции[orderNum],ТабПозиции[[#This Row],[orderNum]])),0),"")</f>
        <v>61</v>
      </c>
      <c r="Q1415">
        <f>IF(OR(ТабПозиции[[#This Row],[item]]="По штрихкоду",ТабПозиции[[#This Row],[item]]="Посылка"),ТабПозиции[[#This Row],[deliverySumm]]+ТабПозиции[[#This Row],[deliveryPost]],SUM(N1415:P1415))</f>
        <v>467</v>
      </c>
      <c r="R1415" s="41">
        <v>467</v>
      </c>
      <c r="S1415" s="46">
        <f>ТабПозиции[[#This Row],[totalSumm]]-ТабПозиции[[#This Row],[payment]]</f>
        <v>0</v>
      </c>
      <c r="T1415" s="18" t="s">
        <v>960</v>
      </c>
      <c r="U1415" s="40" t="s">
        <v>545</v>
      </c>
      <c r="V1415" s="40" t="str">
        <f>IF(AND(ТабПозиции[[#This Row],[Остаток]]=0,ТабПозиции[[#This Row],[Заказан]]="Да"),"Да","Нет")</f>
        <v>Да</v>
      </c>
      <c r="W1415" s="40" t="str">
        <f>IF(AND(ТабПозиции[[#This Row],[Остаток]]=0,ТабПозиции[[#This Row],[Заказан]]="Да"),"Да","Нет")</f>
        <v>Да</v>
      </c>
      <c r="X1415" s="3"/>
      <c r="Y1415"/>
    </row>
    <row r="1416" spans="1:25" hidden="1" x14ac:dyDescent="0.25">
      <c r="A1416" s="10">
        <v>378</v>
      </c>
      <c r="B1416" s="1">
        <f>IFERROR(VLOOKUP(ТабПозиции[[#This Row],[orderNum]],ТабЗаказы[#Data],MATCH(B$7,ТабЗаказы[#Headers],0),0),"")</f>
        <v>45632</v>
      </c>
      <c r="C1416" t="str">
        <f>MONTH(ТабПозиции[[#This Row],[date]])&amp;"/"&amp;YEAR(ТабПозиции[[#This Row],[date]])</f>
        <v>12/2024</v>
      </c>
      <c r="D1416" s="1" t="str">
        <f>IFERROR(VLOOKUP(ТабПозиции[[#This Row],[orderNum]],ТабЗаказы[#Data],MATCH(D$7,ТабЗаказы[#Headers],0),0),"")</f>
        <v/>
      </c>
      <c r="E1416" s="1" t="str">
        <f>IFERROR(VLOOKUP(ТабПозиции[[#This Row],[orderNum]],ТабЗаказы[#Data],MATCH(E$7,ТабЗаказы[#Headers],0),0),"")</f>
        <v/>
      </c>
      <c r="F1416" s="16" t="s">
        <v>1947</v>
      </c>
      <c r="G1416" s="40" t="s">
        <v>545</v>
      </c>
      <c r="I1416" s="18">
        <v>45634</v>
      </c>
      <c r="J1416" s="10">
        <v>1</v>
      </c>
      <c r="K1416" s="10">
        <v>290</v>
      </c>
      <c r="L1416">
        <f>ТабПозиции[[#This Row],[discountPrice]]*ТабПозиции[[#This Row],[quantity]]</f>
        <v>290</v>
      </c>
      <c r="M1416" s="10">
        <v>296</v>
      </c>
      <c r="N1416">
        <f t="shared" si="26"/>
        <v>296</v>
      </c>
      <c r="P14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Row],[orderNum]],ТабПозиции[orderSumm])&gt;1500),ABS(N1416*VLOOKUP(ТабПозиции[[#This Row],[orderNum]],ТабЗаказы[#Data],MATCH("Percent",ТабЗаказы[#Headers],0),0))/100,200/COUNTIF(ТабПозиции[orderNum],ТабПозиции[[#This Row],[orderNum]])),0),"")</f>
        <v>44</v>
      </c>
      <c r="Q1416">
        <f>IF(OR(ТабПозиции[[#This Row],[item]]="По штрихкоду",ТабПозиции[[#This Row],[item]]="Посылка"),ТабПозиции[[#This Row],[deliverySumm]]+ТабПозиции[[#This Row],[deliveryPost]],SUM(N1416:P1416))</f>
        <v>340</v>
      </c>
      <c r="R1416" s="41">
        <v>340</v>
      </c>
      <c r="S1416" s="46">
        <f>ТабПозиции[[#This Row],[totalSumm]]-ТабПозиции[[#This Row],[payment]]</f>
        <v>0</v>
      </c>
      <c r="T1416" s="18" t="s">
        <v>960</v>
      </c>
      <c r="U1416" s="40" t="s">
        <v>545</v>
      </c>
      <c r="V1416" s="40" t="str">
        <f>IF(AND(ТабПозиции[[#This Row],[Остаток]]=0,ТабПозиции[[#This Row],[Заказан]]="Да"),"Да","Нет")</f>
        <v>Да</v>
      </c>
      <c r="W1416" s="40" t="str">
        <f>IF(AND(ТабПозиции[[#This Row],[Остаток]]=0,ТабПозиции[[#This Row],[Заказан]]="Да"),"Да","Нет")</f>
        <v>Да</v>
      </c>
      <c r="X1416" s="3"/>
      <c r="Y1416"/>
    </row>
    <row r="1417" spans="1:25" hidden="1" x14ac:dyDescent="0.25">
      <c r="A1417" s="10">
        <v>378</v>
      </c>
      <c r="B1417" s="1">
        <f>IFERROR(VLOOKUP(ТабПозиции[[#This Row],[orderNum]],ТабЗаказы[#Data],MATCH(B$7,ТабЗаказы[#Headers],0),0),"")</f>
        <v>45632</v>
      </c>
      <c r="C1417" t="str">
        <f>MONTH(ТабПозиции[[#This Row],[date]])&amp;"/"&amp;YEAR(ТабПозиции[[#This Row],[date]])</f>
        <v>12/2024</v>
      </c>
      <c r="D1417" s="1" t="str">
        <f>IFERROR(VLOOKUP(ТабПозиции[[#This Row],[orderNum]],ТабЗаказы[#Data],MATCH(D$7,ТабЗаказы[#Headers],0),0),"")</f>
        <v/>
      </c>
      <c r="E1417" s="1" t="str">
        <f>IFERROR(VLOOKUP(ТабПозиции[[#This Row],[orderNum]],ТабЗаказы[#Data],MATCH(E$7,ТабЗаказы[#Headers],0),0),"")</f>
        <v/>
      </c>
      <c r="F1417" s="16" t="s">
        <v>1948</v>
      </c>
      <c r="G1417" s="40" t="s">
        <v>545</v>
      </c>
      <c r="I1417" s="18">
        <v>45633</v>
      </c>
      <c r="J1417" s="10">
        <v>1</v>
      </c>
      <c r="K1417" s="10">
        <v>792</v>
      </c>
      <c r="L1417">
        <f>ТабПозиции[[#This Row],[discountPrice]]*ТабПозиции[[#This Row],[quantity]]</f>
        <v>792</v>
      </c>
      <c r="M1417" s="10">
        <v>835</v>
      </c>
      <c r="N1417">
        <f t="shared" si="26"/>
        <v>835</v>
      </c>
      <c r="P14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Row],[orderNum]],ТабПозиции[orderSumm])&gt;1500),ABS(N1417*VLOOKUP(ТабПозиции[[#This Row],[orderNum]],ТабЗаказы[#Data],MATCH("Percent",ТабЗаказы[#Headers],0),0))/100,200/COUNTIF(ТабПозиции[orderNum],ТабПозиции[[#This Row],[orderNum]])),0),"")</f>
        <v>125</v>
      </c>
      <c r="Q1417">
        <f>IF(OR(ТабПозиции[[#This Row],[item]]="По штрихкоду",ТабПозиции[[#This Row],[item]]="Посылка"),ТабПозиции[[#This Row],[deliverySumm]]+ТабПозиции[[#This Row],[deliveryPost]],SUM(N1417:P1417))</f>
        <v>960</v>
      </c>
      <c r="R1417" s="41">
        <v>960</v>
      </c>
      <c r="S1417" s="46">
        <f>ТабПозиции[[#This Row],[totalSumm]]-ТабПозиции[[#This Row],[payment]]</f>
        <v>0</v>
      </c>
      <c r="T1417" s="18" t="s">
        <v>960</v>
      </c>
      <c r="U1417" s="40" t="s">
        <v>545</v>
      </c>
      <c r="V1417" s="40" t="str">
        <f>IF(AND(ТабПозиции[[#This Row],[Остаток]]=0,ТабПозиции[[#This Row],[Заказан]]="Да"),"Да","Нет")</f>
        <v>Да</v>
      </c>
      <c r="W1417" s="40" t="str">
        <f>IF(AND(ТабПозиции[[#This Row],[Остаток]]=0,ТабПозиции[[#This Row],[Заказан]]="Да"),"Да","Нет")</f>
        <v>Да</v>
      </c>
      <c r="X1417" s="3"/>
      <c r="Y1417"/>
    </row>
    <row r="1418" spans="1:25" hidden="1" x14ac:dyDescent="0.25">
      <c r="A1418" s="10">
        <v>379</v>
      </c>
      <c r="B1418" s="1">
        <f>IFERROR(VLOOKUP(ТабПозиции[[#This Row],[orderNum]],ТабЗаказы[#Data],MATCH(B$7,ТабЗаказы[#Headers],0),0),"")</f>
        <v>45632</v>
      </c>
      <c r="C1418" t="str">
        <f>MONTH(ТабПозиции[[#This Row],[date]])&amp;"/"&amp;YEAR(ТабПозиции[[#This Row],[date]])</f>
        <v>12/2024</v>
      </c>
      <c r="D1418" s="1" t="str">
        <f>IFERROR(VLOOKUP(ТабПозиции[[#This Row],[orderNum]],ТабЗаказы[#Data],MATCH(D$7,ТабЗаказы[#Headers],0),0),"")</f>
        <v/>
      </c>
      <c r="E1418" s="1" t="str">
        <f>IFERROR(VLOOKUP(ТабПозиции[[#This Row],[orderNum]],ТабЗаказы[#Data],MATCH(E$7,ТабЗаказы[#Headers],0),0),"")</f>
        <v/>
      </c>
      <c r="F1418" s="16" t="s">
        <v>1928</v>
      </c>
      <c r="G1418" s="40" t="s">
        <v>545</v>
      </c>
      <c r="I1418" s="18">
        <v>45635</v>
      </c>
      <c r="J1418" s="10">
        <v>1</v>
      </c>
      <c r="K1418" s="10">
        <v>710</v>
      </c>
      <c r="L1418">
        <f>ТабПозиции[[#This Row],[discountPrice]]*ТабПозиции[[#This Row],[quantity]]</f>
        <v>710</v>
      </c>
      <c r="M1418" s="10">
        <v>748</v>
      </c>
      <c r="N1418">
        <f t="shared" si="26"/>
        <v>748</v>
      </c>
      <c r="P14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Row],[orderNum]],ТабПозиции[orderSumm])&gt;1500),ABS(N1418*VLOOKUP(ТабПозиции[[#This Row],[orderNum]],ТабЗаказы[#Data],MATCH("Percent",ТабЗаказы[#Headers],0),0))/100,200/COUNTIF(ТабПозиции[orderNum],ТабПозиции[[#This Row],[orderNum]])),0),"")</f>
        <v>112</v>
      </c>
      <c r="Q1418">
        <f>IF(OR(ТабПозиции[[#This Row],[item]]="По штрихкоду",ТабПозиции[[#This Row],[item]]="Посылка"),ТабПозиции[[#This Row],[deliverySumm]]+ТабПозиции[[#This Row],[deliveryPost]],SUM(N1418:P1418))</f>
        <v>860</v>
      </c>
      <c r="R1418" s="41">
        <v>860</v>
      </c>
      <c r="S1418" s="46">
        <f>ТабПозиции[[#This Row],[totalSumm]]-ТабПозиции[[#This Row],[payment]]</f>
        <v>0</v>
      </c>
      <c r="T1418" s="18" t="s">
        <v>970</v>
      </c>
      <c r="U1418" s="40" t="s">
        <v>545</v>
      </c>
      <c r="V1418" s="40" t="str">
        <f>IF(AND(ТабПозиции[[#This Row],[Остаток]]=0,ТабПозиции[[#This Row],[Заказан]]="Да"),"Да","Нет")</f>
        <v>Да</v>
      </c>
      <c r="W1418" s="40" t="str">
        <f>IF(AND(ТабПозиции[[#This Row],[Остаток]]=0,ТабПозиции[[#This Row],[Заказан]]="Да"),"Да","Нет")</f>
        <v>Да</v>
      </c>
      <c r="X1418" s="3"/>
      <c r="Y1418"/>
    </row>
    <row r="1419" spans="1:25" hidden="1" x14ac:dyDescent="0.25">
      <c r="A1419" s="10">
        <v>379</v>
      </c>
      <c r="B1419" s="1">
        <f>IFERROR(VLOOKUP(ТабПозиции[[#This Row],[orderNum]],ТабЗаказы[#Data],MATCH(B$7,ТабЗаказы[#Headers],0),0),"")</f>
        <v>45632</v>
      </c>
      <c r="C1419" t="str">
        <f>MONTH(ТабПозиции[[#This Row],[date]])&amp;"/"&amp;YEAR(ТабПозиции[[#This Row],[date]])</f>
        <v>12/2024</v>
      </c>
      <c r="D1419" s="1" t="str">
        <f>IFERROR(VLOOKUP(ТабПозиции[[#This Row],[orderNum]],ТабЗаказы[#Data],MATCH(D$7,ТабЗаказы[#Headers],0),0),"")</f>
        <v/>
      </c>
      <c r="E1419" s="1" t="str">
        <f>IFERROR(VLOOKUP(ТабПозиции[[#This Row],[orderNum]],ТабЗаказы[#Data],MATCH(E$7,ТабЗаказы[#Headers],0),0),"")</f>
        <v/>
      </c>
      <c r="F1419" s="16" t="s">
        <v>1949</v>
      </c>
      <c r="G1419" s="40" t="s">
        <v>545</v>
      </c>
      <c r="I1419" s="18">
        <v>45637</v>
      </c>
      <c r="J1419" s="10">
        <v>1</v>
      </c>
      <c r="K1419" s="10">
        <v>441</v>
      </c>
      <c r="L1419">
        <f>ТабПозиции[[#This Row],[discountPrice]]*ТабПозиции[[#This Row],[quantity]]</f>
        <v>441</v>
      </c>
      <c r="M1419" s="10">
        <v>465</v>
      </c>
      <c r="N1419">
        <f t="shared" ref="N1419:N1481" si="27">M1419*J1419</f>
        <v>465</v>
      </c>
      <c r="P14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Row],[orderNum]],ТабПозиции[orderSumm])&gt;1500),ABS(N1419*VLOOKUP(ТабПозиции[[#This Row],[orderNum]],ТабЗаказы[#Data],MATCH("Percent",ТабЗаказы[#Headers],0),0))/100,200/COUNTIF(ТабПозиции[orderNum],ТабПозиции[[#This Row],[orderNum]])),0),"")</f>
        <v>70</v>
      </c>
      <c r="Q1419">
        <f>IF(OR(ТабПозиции[[#This Row],[item]]="По штрихкоду",ТабПозиции[[#This Row],[item]]="Посылка"),ТабПозиции[[#This Row],[deliverySumm]]+ТабПозиции[[#This Row],[deliveryPost]],SUM(N1419:P1419))</f>
        <v>535</v>
      </c>
      <c r="R1419" s="41">
        <v>535</v>
      </c>
      <c r="S1419" s="46">
        <f>ТабПозиции[[#This Row],[totalSumm]]-ТабПозиции[[#This Row],[payment]]</f>
        <v>0</v>
      </c>
      <c r="T1419" s="18" t="s">
        <v>970</v>
      </c>
      <c r="U1419" s="40" t="s">
        <v>545</v>
      </c>
      <c r="V1419" s="40" t="str">
        <f>IF(AND(ТабПозиции[[#This Row],[Остаток]]=0,ТабПозиции[[#This Row],[Заказан]]="Да"),"Да","Нет")</f>
        <v>Да</v>
      </c>
      <c r="W1419" s="40" t="str">
        <f>IF(AND(ТабПозиции[[#This Row],[Остаток]]=0,ТабПозиции[[#This Row],[Заказан]]="Да"),"Да","Нет")</f>
        <v>Да</v>
      </c>
      <c r="X1419" s="3"/>
      <c r="Y1419"/>
    </row>
    <row r="1420" spans="1:25" hidden="1" x14ac:dyDescent="0.25">
      <c r="A1420" s="10">
        <v>379</v>
      </c>
      <c r="B1420" s="1">
        <f>IFERROR(VLOOKUP(ТабПозиции[[#This Row],[orderNum]],ТабЗаказы[#Data],MATCH(B$7,ТабЗаказы[#Headers],0),0),"")</f>
        <v>45632</v>
      </c>
      <c r="C1420" t="str">
        <f>MONTH(ТабПозиции[[#This Row],[date]])&amp;"/"&amp;YEAR(ТабПозиции[[#This Row],[date]])</f>
        <v>12/2024</v>
      </c>
      <c r="D1420" s="1" t="str">
        <f>IFERROR(VLOOKUP(ТабПозиции[[#This Row],[orderNum]],ТабЗаказы[#Data],MATCH(D$7,ТабЗаказы[#Headers],0),0),"")</f>
        <v/>
      </c>
      <c r="E1420" s="1" t="str">
        <f>IFERROR(VLOOKUP(ТабПозиции[[#This Row],[orderNum]],ТабЗаказы[#Data],MATCH(E$7,ТабЗаказы[#Headers],0),0),"")</f>
        <v/>
      </c>
      <c r="F1420" s="16" t="s">
        <v>1952</v>
      </c>
      <c r="G1420" s="40" t="s">
        <v>545</v>
      </c>
      <c r="I1420" s="18">
        <v>45636</v>
      </c>
      <c r="J1420" s="10">
        <v>1</v>
      </c>
      <c r="K1420" s="10">
        <v>335</v>
      </c>
      <c r="L1420">
        <f>ТабПозиции[[#This Row],[discountPrice]]*ТабПозиции[[#This Row],[quantity]]</f>
        <v>335</v>
      </c>
      <c r="M1420" s="10">
        <v>353</v>
      </c>
      <c r="N1420">
        <f t="shared" si="27"/>
        <v>353</v>
      </c>
      <c r="P14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Row],[orderNum]],ТабПозиции[orderSumm])&gt;1500),ABS(N1420*VLOOKUP(ТабПозиции[[#This Row],[orderNum]],ТабЗаказы[#Data],MATCH("Percent",ТабЗаказы[#Headers],0),0))/100,200/COUNTIF(ТабПозиции[orderNum],ТабПозиции[[#This Row],[orderNum]])),0),"")</f>
        <v>53</v>
      </c>
      <c r="Q1420">
        <f>IF(OR(ТабПозиции[[#This Row],[item]]="По штрихкоду",ТабПозиции[[#This Row],[item]]="Посылка"),ТабПозиции[[#This Row],[deliverySumm]]+ТабПозиции[[#This Row],[deliveryPost]],SUM(N1420:P1420))</f>
        <v>406</v>
      </c>
      <c r="R1420" s="41">
        <v>406</v>
      </c>
      <c r="S1420" s="46">
        <f>ТабПозиции[[#This Row],[totalSumm]]-ТабПозиции[[#This Row],[payment]]</f>
        <v>0</v>
      </c>
      <c r="T1420" s="18" t="s">
        <v>970</v>
      </c>
      <c r="U1420" s="40" t="s">
        <v>545</v>
      </c>
      <c r="V1420" s="40" t="str">
        <f>IF(AND(ТабПозиции[[#This Row],[Остаток]]=0,ТабПозиции[[#This Row],[Заказан]]="Да"),"Да","Нет")</f>
        <v>Да</v>
      </c>
      <c r="W1420" s="40" t="str">
        <f>IF(AND(ТабПозиции[[#This Row],[Остаток]]=0,ТабПозиции[[#This Row],[Заказан]]="Да"),"Да","Нет")</f>
        <v>Да</v>
      </c>
      <c r="X1420" s="3"/>
      <c r="Y1420"/>
    </row>
    <row r="1421" spans="1:25" hidden="1" x14ac:dyDescent="0.25">
      <c r="A1421" s="10">
        <v>379</v>
      </c>
      <c r="B1421" s="1">
        <f>IFERROR(VLOOKUP(ТабПозиции[[#This Row],[orderNum]],ТабЗаказы[#Data],MATCH(B$7,ТабЗаказы[#Headers],0),0),"")</f>
        <v>45632</v>
      </c>
      <c r="C1421" t="str">
        <f>MONTH(ТабПозиции[[#This Row],[date]])&amp;"/"&amp;YEAR(ТабПозиции[[#This Row],[date]])</f>
        <v>12/2024</v>
      </c>
      <c r="D1421" s="1" t="str">
        <f>IFERROR(VLOOKUP(ТабПозиции[[#This Row],[orderNum]],ТабЗаказы[#Data],MATCH(D$7,ТабЗаказы[#Headers],0),0),"")</f>
        <v/>
      </c>
      <c r="E1421" s="1" t="str">
        <f>IFERROR(VLOOKUP(ТабПозиции[[#This Row],[orderNum]],ТабЗаказы[#Data],MATCH(E$7,ТабЗаказы[#Headers],0),0),"")</f>
        <v/>
      </c>
      <c r="F1421" s="16" t="s">
        <v>1951</v>
      </c>
      <c r="G1421" s="40" t="s">
        <v>545</v>
      </c>
      <c r="I1421" s="18">
        <v>45635</v>
      </c>
      <c r="J1421" s="10">
        <v>1</v>
      </c>
      <c r="K1421" s="10">
        <v>418</v>
      </c>
      <c r="L1421">
        <f>ТабПозиции[[#This Row],[discountPrice]]*ТабПозиции[[#This Row],[quantity]]</f>
        <v>418</v>
      </c>
      <c r="M1421" s="10">
        <v>441</v>
      </c>
      <c r="N1421">
        <f t="shared" si="27"/>
        <v>441</v>
      </c>
      <c r="P14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Row],[orderNum]],ТабПозиции[orderSumm])&gt;1500),ABS(N1421*VLOOKUP(ТабПозиции[[#This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421">
        <f>IF(OR(ТабПозиции[[#This Row],[item]]="По штрихкоду",ТабПозиции[[#This Row],[item]]="Посылка"),ТабПозиции[[#This Row],[deliverySumm]]+ТабПозиции[[#This Row],[deliveryPost]],SUM(N1421:P1421))</f>
        <v>507</v>
      </c>
      <c r="R1421" s="41">
        <v>507</v>
      </c>
      <c r="S1421" s="46">
        <f>ТабПозиции[[#This Row],[totalSumm]]-ТабПозиции[[#This Row],[payment]]</f>
        <v>0</v>
      </c>
      <c r="T1421" s="18" t="s">
        <v>970</v>
      </c>
      <c r="U1421" s="40" t="s">
        <v>545</v>
      </c>
      <c r="V1421" s="40" t="str">
        <f>IF(AND(ТабПозиции[[#This Row],[Остаток]]=0,ТабПозиции[[#This Row],[Заказан]]="Да"),"Да","Нет")</f>
        <v>Да</v>
      </c>
      <c r="W1421" s="40" t="str">
        <f>IF(AND(ТабПозиции[[#This Row],[Остаток]]=0,ТабПозиции[[#This Row],[Заказан]]="Да"),"Да","Нет")</f>
        <v>Да</v>
      </c>
      <c r="X1421" s="3"/>
      <c r="Y1421"/>
    </row>
    <row r="1422" spans="1:25" hidden="1" x14ac:dyDescent="0.25">
      <c r="A1422" s="10">
        <v>379</v>
      </c>
      <c r="B1422" s="1">
        <f>IFERROR(VLOOKUP(ТабПозиции[[#This Row],[orderNum]],ТабЗаказы[#Data],MATCH(B$7,ТабЗаказы[#Headers],0),0),"")</f>
        <v>45632</v>
      </c>
      <c r="C1422" t="str">
        <f>MONTH(ТабПозиции[[#This Row],[date]])&amp;"/"&amp;YEAR(ТабПозиции[[#This Row],[date]])</f>
        <v>12/2024</v>
      </c>
      <c r="D1422" s="1" t="str">
        <f>IFERROR(VLOOKUP(ТабПозиции[[#This Row],[orderNum]],ТабЗаказы[#Data],MATCH(D$7,ТабЗаказы[#Headers],0),0),"")</f>
        <v/>
      </c>
      <c r="E1422" s="1" t="str">
        <f>IFERROR(VLOOKUP(ТабПозиции[[#This Row],[orderNum]],ТабЗаказы[#Data],MATCH(E$7,ТабЗаказы[#Headers],0),0),"")</f>
        <v/>
      </c>
      <c r="F1422" s="16" t="s">
        <v>1950</v>
      </c>
      <c r="G1422" s="40" t="s">
        <v>545</v>
      </c>
      <c r="I1422" s="18">
        <v>45638</v>
      </c>
      <c r="J1422" s="10">
        <v>1</v>
      </c>
      <c r="K1422" s="10">
        <v>353</v>
      </c>
      <c r="L1422">
        <f>ТабПозиции[[#This Row],[discountPrice]]*ТабПозиции[[#This Row],[quantity]]</f>
        <v>353</v>
      </c>
      <c r="M1422" s="10">
        <v>372</v>
      </c>
      <c r="N1422">
        <f t="shared" si="27"/>
        <v>372</v>
      </c>
      <c r="P14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Row],[orderNum]],ТабПозиции[orderSumm])&gt;1500),ABS(N1422*VLOOKUP(ТабПозиции[[#This Row],[orderNum]],ТабЗаказы[#Data],MATCH("Percent",ТабЗаказы[#Headers],0),0))/100,200/COUNTIF(ТабПозиции[orderNum],ТабПозиции[[#This Row],[orderNum]])),0),"")</f>
        <v>56</v>
      </c>
      <c r="Q1422">
        <f>IF(OR(ТабПозиции[[#This Row],[item]]="По штрихкоду",ТабПозиции[[#This Row],[item]]="Посылка"),ТабПозиции[[#This Row],[deliverySumm]]+ТабПозиции[[#This Row],[deliveryPost]],SUM(N1422:P1422))</f>
        <v>428</v>
      </c>
      <c r="R1422" s="41">
        <v>428</v>
      </c>
      <c r="S1422" s="46">
        <f>ТабПозиции[[#This Row],[totalSumm]]-ТабПозиции[[#This Row],[payment]]</f>
        <v>0</v>
      </c>
      <c r="T1422" s="18" t="s">
        <v>970</v>
      </c>
      <c r="U1422" s="40" t="s">
        <v>545</v>
      </c>
      <c r="V1422" s="40" t="str">
        <f>IF(AND(ТабПозиции[[#This Row],[Остаток]]=0,ТабПозиции[[#This Row],[Заказан]]="Да"),"Да","Нет")</f>
        <v>Да</v>
      </c>
      <c r="W1422" s="40" t="str">
        <f>IF(AND(ТабПозиции[[#This Row],[Остаток]]=0,ТабПозиции[[#This Row],[Заказан]]="Да"),"Да","Нет")</f>
        <v>Да</v>
      </c>
      <c r="X1422" s="3"/>
      <c r="Y1422"/>
    </row>
    <row r="1423" spans="1:25" hidden="1" x14ac:dyDescent="0.25">
      <c r="A1423" s="10">
        <v>380</v>
      </c>
      <c r="B1423" s="1">
        <f>IFERROR(VLOOKUP(ТабПозиции[[#This Row],[orderNum]],ТабЗаказы[#Data],MATCH(B$7,ТабЗаказы[#Headers],0),0),"")</f>
        <v>45634</v>
      </c>
      <c r="C1423" t="str">
        <f>MONTH(ТабПозиции[[#This Row],[date]])&amp;"/"&amp;YEAR(ТабПозиции[[#This Row],[date]])</f>
        <v>12/2024</v>
      </c>
      <c r="D1423" s="1" t="str">
        <f>IFERROR(VLOOKUP(ТабПозиции[[#This Row],[orderNum]],ТабЗаказы[#Data],MATCH(D$7,ТабЗаказы[#Headers],0),0),"")</f>
        <v/>
      </c>
      <c r="E1423" s="1" t="str">
        <f>IFERROR(VLOOKUP(ТабПозиции[[#This Row],[orderNum]],ТабЗаказы[#Data],MATCH(E$7,ТабЗаказы[#Headers],0),0),"")</f>
        <v/>
      </c>
      <c r="F1423" s="16" t="s">
        <v>1953</v>
      </c>
      <c r="G1423" s="40" t="s">
        <v>545</v>
      </c>
      <c r="I1423" s="18">
        <v>45638</v>
      </c>
      <c r="J1423" s="10">
        <v>1</v>
      </c>
      <c r="K1423" s="10">
        <v>234</v>
      </c>
      <c r="L1423">
        <f>ТабПозиции[[#This Row],[discountPrice]]*ТабПозиции[[#This Row],[quantity]]</f>
        <v>234</v>
      </c>
      <c r="M1423" s="10">
        <v>247</v>
      </c>
      <c r="N1423">
        <f t="shared" si="27"/>
        <v>247</v>
      </c>
      <c r="P14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Row],[orderNum]],ТабПозиции[orderSumm])&gt;1500),ABS(N1423*VLOOKUP(ТабПозиции[[#This Row],[orderNum]],ТабЗаказы[#Data],MATCH("Percent",ТабЗаказы[#Headers],0),0))/100,200/COUNTIF(ТабПозиции[orderNum],ТабПозиции[[#This Row],[orderNum]])),0),"")</f>
        <v>37</v>
      </c>
      <c r="Q1423">
        <f>IF(OR(ТабПозиции[[#This Row],[item]]="По штрихкоду",ТабПозиции[[#This Row],[item]]="Посылка"),ТабПозиции[[#This Row],[deliverySumm]]+ТабПозиции[[#This Row],[deliveryPost]],SUM(N1423:P1423))</f>
        <v>284</v>
      </c>
      <c r="R1423" s="41">
        <v>284</v>
      </c>
      <c r="S1423" s="46">
        <f>ТабПозиции[[#This Row],[totalSumm]]-ТабПозиции[[#This Row],[payment]]</f>
        <v>0</v>
      </c>
      <c r="T1423" s="18" t="s">
        <v>970</v>
      </c>
      <c r="U1423" s="40" t="s">
        <v>545</v>
      </c>
      <c r="V1423" s="40" t="str">
        <f>IF(AND(ТабПозиции[[#This Row],[Остаток]]=0,ТабПозиции[[#This Row],[Заказан]]="Да"),"Да","Нет")</f>
        <v>Да</v>
      </c>
      <c r="W1423" s="40" t="str">
        <f>IF(AND(ТабПозиции[[#This Row],[Остаток]]=0,ТабПозиции[[#This Row],[Заказан]]="Да"),"Да","Нет")</f>
        <v>Да</v>
      </c>
      <c r="X1423" s="3"/>
      <c r="Y1423"/>
    </row>
    <row r="1424" spans="1:25" hidden="1" x14ac:dyDescent="0.25">
      <c r="A1424" s="10">
        <v>380</v>
      </c>
      <c r="B1424" s="1">
        <f>IFERROR(VLOOKUP(ТабПозиции[[#This Row],[orderNum]],ТабЗаказы[#Data],MATCH(B$7,ТабЗаказы[#Headers],0),0),"")</f>
        <v>45634</v>
      </c>
      <c r="C1424" t="str">
        <f>MONTH(ТабПозиции[[#This Row],[date]])&amp;"/"&amp;YEAR(ТабПозиции[[#This Row],[date]])</f>
        <v>12/2024</v>
      </c>
      <c r="D1424" s="1" t="str">
        <f>IFERROR(VLOOKUP(ТабПозиции[[#This Row],[orderNum]],ТабЗаказы[#Data],MATCH(D$7,ТабЗаказы[#Headers],0),0),"")</f>
        <v/>
      </c>
      <c r="E1424" s="1" t="str">
        <f>IFERROR(VLOOKUP(ТабПозиции[[#This Row],[orderNum]],ТабЗаказы[#Data],MATCH(E$7,ТабЗаказы[#Headers],0),0),"")</f>
        <v/>
      </c>
      <c r="F1424" s="16" t="s">
        <v>1954</v>
      </c>
      <c r="G1424" s="40" t="s">
        <v>545</v>
      </c>
      <c r="I1424" s="18">
        <v>45636</v>
      </c>
      <c r="J1424" s="10">
        <v>1</v>
      </c>
      <c r="K1424" s="10">
        <v>305</v>
      </c>
      <c r="L1424">
        <f>ТабПозиции[[#This Row],[discountPrice]]*ТабПозиции[[#This Row],[quantity]]</f>
        <v>305</v>
      </c>
      <c r="M1424" s="10">
        <v>322</v>
      </c>
      <c r="N1424">
        <f t="shared" si="27"/>
        <v>322</v>
      </c>
      <c r="P14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Row],[orderNum]],ТабПозиции[orderSumm])&gt;1500),ABS(N1424*VLOOKUP(ТабПозиции[[#This Row],[orderNum]],ТабЗаказы[#Data],MATCH("Percent",ТабЗаказы[#Headers],0),0))/100,200/COUNTIF(ТабПозиции[orderNum],ТабПозиции[[#This Row],[orderNum]])),0),"")</f>
        <v>48</v>
      </c>
      <c r="Q1424">
        <f>IF(OR(ТабПозиции[[#This Row],[item]]="По штрихкоду",ТабПозиции[[#This Row],[item]]="Посылка"),ТабПозиции[[#This Row],[deliverySumm]]+ТабПозиции[[#This Row],[deliveryPost]],SUM(N1424:P1424))</f>
        <v>370</v>
      </c>
      <c r="R1424" s="41">
        <v>370</v>
      </c>
      <c r="S1424" s="46">
        <f>ТабПозиции[[#This Row],[totalSumm]]-ТабПозиции[[#This Row],[payment]]</f>
        <v>0</v>
      </c>
      <c r="T1424" s="18" t="s">
        <v>970</v>
      </c>
      <c r="U1424" s="40" t="s">
        <v>545</v>
      </c>
      <c r="V1424" s="40" t="str">
        <f>IF(AND(ТабПозиции[[#This Row],[Остаток]]=0,ТабПозиции[[#This Row],[Заказан]]="Да"),"Да","Нет")</f>
        <v>Да</v>
      </c>
      <c r="W1424" s="40" t="str">
        <f>IF(AND(ТабПозиции[[#This Row],[Остаток]]=0,ТабПозиции[[#This Row],[Заказан]]="Да"),"Да","Нет")</f>
        <v>Да</v>
      </c>
      <c r="X1424" s="3"/>
      <c r="Y1424"/>
    </row>
    <row r="1425" spans="1:25" hidden="1" x14ac:dyDescent="0.25">
      <c r="A1425" s="10">
        <v>380</v>
      </c>
      <c r="B1425" s="1">
        <f>IFERROR(VLOOKUP(ТабПозиции[[#This Row],[orderNum]],ТабЗаказы[#Data],MATCH(B$7,ТабЗаказы[#Headers],0),0),"")</f>
        <v>45634</v>
      </c>
      <c r="C1425" t="str">
        <f>MONTH(ТабПозиции[[#This Row],[date]])&amp;"/"&amp;YEAR(ТабПозиции[[#This Row],[date]])</f>
        <v>12/2024</v>
      </c>
      <c r="D1425" s="1" t="str">
        <f>IFERROR(VLOOKUP(ТабПозиции[[#This Row],[orderNum]],ТабЗаказы[#Data],MATCH(D$7,ТабЗаказы[#Headers],0),0),"")</f>
        <v/>
      </c>
      <c r="E1425" s="1" t="str">
        <f>IFERROR(VLOOKUP(ТабПозиции[[#This Row],[orderNum]],ТабЗаказы[#Data],MATCH(E$7,ТабЗаказы[#Headers],0),0),"")</f>
        <v/>
      </c>
      <c r="F1425" s="16" t="s">
        <v>1955</v>
      </c>
      <c r="G1425" s="40" t="s">
        <v>545</v>
      </c>
      <c r="I1425" s="18">
        <v>45637</v>
      </c>
      <c r="J1425" s="10">
        <v>1</v>
      </c>
      <c r="K1425" s="10">
        <v>169</v>
      </c>
      <c r="L1425">
        <f>ТабПозиции[[#This Row],[discountPrice]]*ТабПозиции[[#This Row],[quantity]]</f>
        <v>169</v>
      </c>
      <c r="M1425" s="10">
        <v>172</v>
      </c>
      <c r="N1425">
        <f t="shared" si="27"/>
        <v>172</v>
      </c>
      <c r="P14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Row],[orderNum]],ТабПозиции[orderSumm])&gt;1500),ABS(N1425*VLOOKUP(ТабПозиции[[#This Row],[orderNum]],ТабЗаказы[#Data],MATCH("Percent",ТабЗаказы[#Headers],0),0))/100,200/COUNTIF(ТабПозиции[orderNum],ТабПозиции[[#This Row],[orderNum]])),0),"")</f>
        <v>26</v>
      </c>
      <c r="Q1425">
        <f>IF(OR(ТабПозиции[[#This Row],[item]]="По штрихкоду",ТабПозиции[[#This Row],[item]]="Посылка"),ТабПозиции[[#This Row],[deliverySumm]]+ТабПозиции[[#This Row],[deliveryPost]],SUM(N1425:P1425))</f>
        <v>198</v>
      </c>
      <c r="R1425" s="41">
        <v>198</v>
      </c>
      <c r="S1425" s="46">
        <f>ТабПозиции[[#This Row],[totalSumm]]-ТабПозиции[[#This Row],[payment]]</f>
        <v>0</v>
      </c>
      <c r="T1425" s="18" t="s">
        <v>960</v>
      </c>
      <c r="U1425" s="40" t="s">
        <v>545</v>
      </c>
      <c r="V1425" s="40" t="str">
        <f>IF(AND(ТабПозиции[[#This Row],[Остаток]]=0,ТабПозиции[[#This Row],[Заказан]]="Да"),"Да","Нет")</f>
        <v>Да</v>
      </c>
      <c r="W1425" s="40" t="str">
        <f>IF(AND(ТабПозиции[[#This Row],[Остаток]]=0,ТабПозиции[[#This Row],[Заказан]]="Да"),"Да","Нет")</f>
        <v>Да</v>
      </c>
      <c r="X1425" s="3"/>
      <c r="Y1425"/>
    </row>
    <row r="1426" spans="1:25" hidden="1" x14ac:dyDescent="0.25">
      <c r="A1426" s="10">
        <v>380</v>
      </c>
      <c r="B1426" s="1">
        <f>IFERROR(VLOOKUP(ТабПозиции[[#This Row],[orderNum]],ТабЗаказы[#Data],MATCH(B$7,ТабЗаказы[#Headers],0),0),"")</f>
        <v>45634</v>
      </c>
      <c r="C1426" t="str">
        <f>MONTH(ТабПозиции[[#This Row],[date]])&amp;"/"&amp;YEAR(ТабПозиции[[#This Row],[date]])</f>
        <v>12/2024</v>
      </c>
      <c r="D1426" s="1" t="str">
        <f>IFERROR(VLOOKUP(ТабПозиции[[#This Row],[orderNum]],ТабЗаказы[#Data],MATCH(D$7,ТабЗаказы[#Headers],0),0),"")</f>
        <v/>
      </c>
      <c r="E1426" s="1" t="str">
        <f>IFERROR(VLOOKUP(ТабПозиции[[#This Row],[orderNum]],ТабЗаказы[#Data],MATCH(E$7,ТабЗаказы[#Headers],0),0),"")</f>
        <v/>
      </c>
      <c r="F1426" s="16" t="s">
        <v>1956</v>
      </c>
      <c r="G1426" s="40" t="s">
        <v>545</v>
      </c>
      <c r="I1426" s="18">
        <v>45636</v>
      </c>
      <c r="J1426" s="10">
        <v>1</v>
      </c>
      <c r="K1426" s="10">
        <v>145</v>
      </c>
      <c r="L1426">
        <f>ТабПозиции[[#This Row],[discountPrice]]*ТабПозиции[[#This Row],[quantity]]</f>
        <v>145</v>
      </c>
      <c r="M1426" s="10">
        <v>148</v>
      </c>
      <c r="N1426">
        <f t="shared" si="27"/>
        <v>148</v>
      </c>
      <c r="P14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Row],[orderNum]],ТабПозиции[orderSumm])&gt;1500),ABS(N1426*VLOOKUP(ТабПозиции[[#This Row],[orderNum]],ТабЗаказы[#Data],MATCH("Percent",ТабЗаказы[#Headers],0),0))/100,200/COUNTIF(ТабПозиции[orderNum],ТабПозиции[[#This Row],[orderNum]])),0),"")</f>
        <v>22</v>
      </c>
      <c r="Q1426">
        <f>IF(OR(ТабПозиции[[#This Row],[item]]="По штрихкоду",ТабПозиции[[#This Row],[item]]="Посылка"),ТабПозиции[[#This Row],[deliverySumm]]+ТабПозиции[[#This Row],[deliveryPost]],SUM(N1426:P1426))</f>
        <v>170</v>
      </c>
      <c r="R1426" s="41">
        <v>170</v>
      </c>
      <c r="S1426" s="46">
        <f>ТабПозиции[[#This Row],[totalSumm]]-ТабПозиции[[#This Row],[payment]]</f>
        <v>0</v>
      </c>
      <c r="T1426" s="18" t="s">
        <v>960</v>
      </c>
      <c r="U1426" s="40" t="s">
        <v>545</v>
      </c>
      <c r="V1426" s="40" t="str">
        <f>IF(AND(ТабПозиции[[#This Row],[Остаток]]=0,ТабПозиции[[#This Row],[Заказан]]="Да"),"Да","Нет")</f>
        <v>Да</v>
      </c>
      <c r="W1426" s="40" t="str">
        <f>IF(AND(ТабПозиции[[#This Row],[Остаток]]=0,ТабПозиции[[#This Row],[Заказан]]="Да"),"Да","Нет")</f>
        <v>Да</v>
      </c>
      <c r="X1426" s="3"/>
      <c r="Y1426"/>
    </row>
    <row r="1427" spans="1:25" hidden="1" x14ac:dyDescent="0.25">
      <c r="A1427" s="10">
        <v>380</v>
      </c>
      <c r="B1427" s="1">
        <f>IFERROR(VLOOKUP(ТабПозиции[[#This Row],[orderNum]],ТабЗаказы[#Data],MATCH(B$7,ТабЗаказы[#Headers],0),0),"")</f>
        <v>45634</v>
      </c>
      <c r="C1427" t="str">
        <f>MONTH(ТабПозиции[[#This Row],[date]])&amp;"/"&amp;YEAR(ТабПозиции[[#This Row],[date]])</f>
        <v>12/2024</v>
      </c>
      <c r="D1427" s="1" t="str">
        <f>IFERROR(VLOOKUP(ТабПозиции[[#This Row],[orderNum]],ТабЗаказы[#Data],MATCH(D$7,ТабЗаказы[#Headers],0),0),"")</f>
        <v/>
      </c>
      <c r="E1427" s="1" t="str">
        <f>IFERROR(VLOOKUP(ТабПозиции[[#This Row],[orderNum]],ТабЗаказы[#Data],MATCH(E$7,ТабЗаказы[#Headers],0),0),"")</f>
        <v/>
      </c>
      <c r="F1427" s="16" t="s">
        <v>623</v>
      </c>
      <c r="G1427" s="40" t="s">
        <v>545</v>
      </c>
      <c r="I1427" s="18">
        <v>45638</v>
      </c>
      <c r="J1427" s="10">
        <v>1</v>
      </c>
      <c r="K1427" s="10">
        <v>159</v>
      </c>
      <c r="L1427">
        <f>ТабПозиции[[#This Row],[discountPrice]]*ТабПозиции[[#This Row],[quantity]]</f>
        <v>159</v>
      </c>
      <c r="M1427" s="10">
        <v>162</v>
      </c>
      <c r="N1427">
        <f t="shared" si="27"/>
        <v>162</v>
      </c>
      <c r="P14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Row],[orderNum]],ТабПозиции[orderSumm])&gt;1500),ABS(N1427*VLOOKUP(ТабПозиции[[#This Row],[orderNum]],ТабЗаказы[#Data],MATCH("Percent",ТабЗаказы[#Headers],0),0))/100,200/COUNTIF(ТабПозиции[orderNum],ТабПозиции[[#This Row],[orderNum]])),0),"")</f>
        <v>24</v>
      </c>
      <c r="Q1427">
        <f>IF(OR(ТабПозиции[[#This Row],[item]]="По штрихкоду",ТабПозиции[[#This Row],[item]]="Посылка"),ТабПозиции[[#This Row],[deliverySumm]]+ТабПозиции[[#This Row],[deliveryPost]],SUM(N1427:P1427))</f>
        <v>186</v>
      </c>
      <c r="R1427" s="41">
        <v>186</v>
      </c>
      <c r="S1427" s="46">
        <f>ТабПозиции[[#This Row],[totalSumm]]-ТабПозиции[[#This Row],[payment]]</f>
        <v>0</v>
      </c>
      <c r="T1427" s="18" t="s">
        <v>960</v>
      </c>
      <c r="U1427" s="40" t="s">
        <v>545</v>
      </c>
      <c r="V1427" s="40" t="str">
        <f>IF(AND(ТабПозиции[[#This Row],[Остаток]]=0,ТабПозиции[[#This Row],[Заказан]]="Да"),"Да","Нет")</f>
        <v>Да</v>
      </c>
      <c r="W1427" s="40" t="str">
        <f>IF(AND(ТабПозиции[[#This Row],[Остаток]]=0,ТабПозиции[[#This Row],[Заказан]]="Да"),"Да","Нет")</f>
        <v>Да</v>
      </c>
      <c r="X1427" s="3"/>
      <c r="Y1427"/>
    </row>
    <row r="1428" spans="1:25" hidden="1" x14ac:dyDescent="0.25">
      <c r="A1428" s="10">
        <v>380</v>
      </c>
      <c r="B1428" s="1">
        <f>IFERROR(VLOOKUP(ТабПозиции[[#This Row],[orderNum]],ТабЗаказы[#Data],MATCH(B$7,ТабЗаказы[#Headers],0),0),"")</f>
        <v>45634</v>
      </c>
      <c r="C1428" t="str">
        <f>MONTH(ТабПозиции[[#This Row],[date]])&amp;"/"&amp;YEAR(ТабПозиции[[#This Row],[date]])</f>
        <v>12/2024</v>
      </c>
      <c r="D1428" s="1" t="str">
        <f>IFERROR(VLOOKUP(ТабПозиции[[#This Row],[orderNum]],ТабЗаказы[#Data],MATCH(D$7,ТабЗаказы[#Headers],0),0),"")</f>
        <v/>
      </c>
      <c r="E1428" s="1" t="str">
        <f>IFERROR(VLOOKUP(ТабПозиции[[#This Row],[orderNum]],ТабЗаказы[#Data],MATCH(E$7,ТабЗаказы[#Headers],0),0),"")</f>
        <v/>
      </c>
      <c r="F1428" s="16" t="s">
        <v>1957</v>
      </c>
      <c r="G1428" s="40" t="s">
        <v>545</v>
      </c>
      <c r="I1428" s="18">
        <v>45651</v>
      </c>
      <c r="J1428" s="10">
        <v>1</v>
      </c>
      <c r="K1428" s="10">
        <v>97</v>
      </c>
      <c r="L1428">
        <f>ТабПозиции[[#This Row],[discountPrice]]*ТабПозиции[[#This Row],[quantity]]</f>
        <v>97</v>
      </c>
      <c r="M1428" s="10">
        <v>100</v>
      </c>
      <c r="N1428">
        <f t="shared" si="27"/>
        <v>100</v>
      </c>
      <c r="P14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Row],[orderNum]],ТабПозиции[orderSumm])&gt;1500),ABS(N1428*VLOOKUP(ТабПозиции[[#This Row],[orderNum]],ТабЗаказы[#Data],MATCH("Percent",ТабЗаказы[#Headers],0),0))/100,200/COUNTIF(ТабПозиции[orderNum],ТабПозиции[[#This Row],[orderNum]])),0),"")</f>
        <v>15</v>
      </c>
      <c r="Q1428">
        <f>IF(OR(ТабПозиции[[#This Row],[item]]="По штрихкоду",ТабПозиции[[#This Row],[item]]="Посылка"),ТабПозиции[[#This Row],[deliverySumm]]+ТабПозиции[[#This Row],[deliveryPost]],SUM(N1428:P1428))</f>
        <v>115</v>
      </c>
      <c r="R1428" s="41">
        <v>115</v>
      </c>
      <c r="S1428" s="46">
        <f>ТабПозиции[[#This Row],[totalSumm]]-ТабПозиции[[#This Row],[payment]]</f>
        <v>0</v>
      </c>
      <c r="T1428" s="18" t="s">
        <v>960</v>
      </c>
      <c r="U1428" s="40" t="s">
        <v>545</v>
      </c>
      <c r="V1428" s="40" t="str">
        <f>IF(AND(ТабПозиции[[#This Row],[Остаток]]=0,ТабПозиции[[#This Row],[Заказан]]="Да"),"Да","Нет")</f>
        <v>Да</v>
      </c>
      <c r="W1428" s="40" t="s">
        <v>545</v>
      </c>
      <c r="X1428" s="3"/>
      <c r="Y1428"/>
    </row>
    <row r="1429" spans="1:25" hidden="1" x14ac:dyDescent="0.25">
      <c r="A1429" s="10">
        <v>380</v>
      </c>
      <c r="B1429" s="1">
        <f>IFERROR(VLOOKUP(ТабПозиции[[#This Row],[orderNum]],ТабЗаказы[#Data],MATCH(B$7,ТабЗаказы[#Headers],0),0),"")</f>
        <v>45634</v>
      </c>
      <c r="C1429" t="str">
        <f>MONTH(ТабПозиции[[#This Row],[date]])&amp;"/"&amp;YEAR(ТабПозиции[[#This Row],[date]])</f>
        <v>12/2024</v>
      </c>
      <c r="D1429" s="1" t="str">
        <f>IFERROR(VLOOKUP(ТабПозиции[[#This Row],[orderNum]],ТабЗаказы[#Data],MATCH(D$7,ТабЗаказы[#Headers],0),0),"")</f>
        <v/>
      </c>
      <c r="E1429" s="1" t="str">
        <f>IFERROR(VLOOKUP(ТабПозиции[[#This Row],[orderNum]],ТабЗаказы[#Data],MATCH(E$7,ТабЗаказы[#Headers],0),0),"")</f>
        <v/>
      </c>
      <c r="F1429" s="16" t="s">
        <v>1958</v>
      </c>
      <c r="G1429" s="40" t="s">
        <v>545</v>
      </c>
      <c r="I1429" s="18">
        <v>45638</v>
      </c>
      <c r="J1429" s="10">
        <v>1</v>
      </c>
      <c r="K1429" s="10">
        <v>259</v>
      </c>
      <c r="L1429">
        <f>ТабПозиции[[#This Row],[discountPrice]]*ТабПозиции[[#This Row],[quantity]]</f>
        <v>259</v>
      </c>
      <c r="M1429" s="10">
        <v>273</v>
      </c>
      <c r="N1429">
        <f t="shared" si="27"/>
        <v>273</v>
      </c>
      <c r="P14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Row],[orderNum]],ТабПозиции[orderSumm])&gt;1500),ABS(N1429*VLOOKUP(ТабПозиции[[#This Row],[orderNum]],ТабЗаказы[#Data],MATCH("Percent",ТабЗаказы[#Headers],0),0))/100,200/COUNTIF(ТабПозиции[orderNum],ТабПозиции[[#This Row],[orderNum]])),0),"")</f>
        <v>41</v>
      </c>
      <c r="Q1429">
        <f>IF(OR(ТабПозиции[[#This Row],[item]]="По штрихкоду",ТабПозиции[[#This Row],[item]]="Посылка"),ТабПозиции[[#This Row],[deliverySumm]]+ТабПозиции[[#This Row],[deliveryPost]],SUM(N1429:P1429))</f>
        <v>314</v>
      </c>
      <c r="R1429" s="41">
        <v>314</v>
      </c>
      <c r="S1429" s="46">
        <f>ТабПозиции[[#This Row],[totalSumm]]-ТабПозиции[[#This Row],[payment]]</f>
        <v>0</v>
      </c>
      <c r="T1429" s="18" t="s">
        <v>970</v>
      </c>
      <c r="U1429" s="40" t="s">
        <v>545</v>
      </c>
      <c r="V1429" s="40" t="str">
        <f>IF(AND(ТабПозиции[[#This Row],[Остаток]]=0,ТабПозиции[[#This Row],[Заказан]]="Да"),"Да","Нет")</f>
        <v>Да</v>
      </c>
      <c r="W1429" s="40" t="str">
        <f>IF(AND(ТабПозиции[[#This Row],[Остаток]]=0,ТабПозиции[[#This Row],[Заказан]]="Да"),"Да","Нет")</f>
        <v>Да</v>
      </c>
      <c r="X1429" s="3"/>
      <c r="Y1429"/>
    </row>
    <row r="1430" spans="1:25" hidden="1" x14ac:dyDescent="0.25">
      <c r="A1430" s="10">
        <v>380</v>
      </c>
      <c r="B1430" s="1">
        <f>IFERROR(VLOOKUP(ТабПозиции[[#This Row],[orderNum]],ТабЗаказы[#Data],MATCH(B$7,ТабЗаказы[#Headers],0),0),"")</f>
        <v>45634</v>
      </c>
      <c r="C1430" t="str">
        <f>MONTH(ТабПозиции[[#This Row],[date]])&amp;"/"&amp;YEAR(ТабПозиции[[#This Row],[date]])</f>
        <v>12/2024</v>
      </c>
      <c r="D1430" s="1" t="str">
        <f>IFERROR(VLOOKUP(ТабПозиции[[#This Row],[orderNum]],ТабЗаказы[#Data],MATCH(D$7,ТабЗаказы[#Headers],0),0),"")</f>
        <v/>
      </c>
      <c r="E1430" s="1" t="str">
        <f>IFERROR(VLOOKUP(ТабПозиции[[#This Row],[orderNum]],ТабЗаказы[#Data],MATCH(E$7,ТабЗаказы[#Headers],0),0),"")</f>
        <v/>
      </c>
      <c r="F1430" s="16" t="s">
        <v>1959</v>
      </c>
      <c r="G1430" s="40" t="s">
        <v>545</v>
      </c>
      <c r="I1430" s="18">
        <v>45637</v>
      </c>
      <c r="J1430" s="10">
        <v>1</v>
      </c>
      <c r="K1430" s="10">
        <v>162</v>
      </c>
      <c r="L1430">
        <f>ТабПозиции[[#This Row],[discountPrice]]*ТабПозиции[[#This Row],[quantity]]</f>
        <v>162</v>
      </c>
      <c r="M1430" s="10">
        <v>171</v>
      </c>
      <c r="N1430">
        <f t="shared" si="27"/>
        <v>171</v>
      </c>
      <c r="P14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Row],[orderNum]],ТабПозиции[orderSumm])&gt;1500),ABS(N1430*VLOOKUP(ТабПозиции[[#This Row],[orderNum]],ТабЗаказы[#Data],MATCH("Percent",ТабЗаказы[#Headers],0),0))/100,200/COUNTIF(ТабПозиции[orderNum],ТабПозиции[[#This Row],[orderNum]])),0),"")</f>
        <v>26</v>
      </c>
      <c r="Q1430">
        <f>IF(OR(ТабПозиции[[#This Row],[item]]="По штрихкоду",ТабПозиции[[#This Row],[item]]="Посылка"),ТабПозиции[[#This Row],[deliverySumm]]+ТабПозиции[[#This Row],[deliveryPost]],SUM(N1430:P1430))</f>
        <v>197</v>
      </c>
      <c r="R1430" s="41">
        <v>197</v>
      </c>
      <c r="S1430" s="46">
        <f>ТабПозиции[[#This Row],[totalSumm]]-ТабПозиции[[#This Row],[payment]]</f>
        <v>0</v>
      </c>
      <c r="T1430" s="18" t="s">
        <v>970</v>
      </c>
      <c r="U1430" s="40" t="s">
        <v>545</v>
      </c>
      <c r="V1430" s="40" t="str">
        <f>IF(AND(ТабПозиции[[#This Row],[Остаток]]=0,ТабПозиции[[#This Row],[Заказан]]="Да"),"Да","Нет")</f>
        <v>Да</v>
      </c>
      <c r="W1430" s="40" t="str">
        <f>IF(AND(ТабПозиции[[#This Row],[Остаток]]=0,ТабПозиции[[#This Row],[Заказан]]="Да"),"Да","Нет")</f>
        <v>Да</v>
      </c>
      <c r="X1430" s="3"/>
      <c r="Y1430"/>
    </row>
    <row r="1431" spans="1:25" hidden="1" x14ac:dyDescent="0.25">
      <c r="A1431" s="10">
        <v>380</v>
      </c>
      <c r="B1431" s="1">
        <f>IFERROR(VLOOKUP(ТабПозиции[[#This Row],[orderNum]],ТабЗаказы[#Data],MATCH(B$7,ТабЗаказы[#Headers],0),0),"")</f>
        <v>45634</v>
      </c>
      <c r="C1431" t="str">
        <f>MONTH(ТабПозиции[[#This Row],[date]])&amp;"/"&amp;YEAR(ТабПозиции[[#This Row],[date]])</f>
        <v>12/2024</v>
      </c>
      <c r="D1431" s="1" t="str">
        <f>IFERROR(VLOOKUP(ТабПозиции[[#This Row],[orderNum]],ТабЗаказы[#Data],MATCH(D$7,ТабЗаказы[#Headers],0),0),"")</f>
        <v/>
      </c>
      <c r="E1431" s="1" t="str">
        <f>IFERROR(VLOOKUP(ТабПозиции[[#This Row],[orderNum]],ТабЗаказы[#Data],MATCH(E$7,ТабЗаказы[#Headers],0),0),"")</f>
        <v/>
      </c>
      <c r="F1431" s="16" t="s">
        <v>1960</v>
      </c>
      <c r="G1431" s="40" t="s">
        <v>545</v>
      </c>
      <c r="I1431" s="18">
        <v>45636</v>
      </c>
      <c r="J1431" s="10">
        <v>1</v>
      </c>
      <c r="K1431" s="10">
        <v>693</v>
      </c>
      <c r="L1431">
        <f>ТабПозиции[[#This Row],[discountPrice]]*ТабПозиции[[#This Row],[quantity]]</f>
        <v>693</v>
      </c>
      <c r="M1431" s="10">
        <v>730</v>
      </c>
      <c r="N1431">
        <f t="shared" si="27"/>
        <v>730</v>
      </c>
      <c r="P14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Row],[orderNum]],ТабПозиции[orderSumm])&gt;1500),ABS(N1431*VLOOKUP(ТабПозиции[[#This Row],[orderNum]],ТабЗаказы[#Data],MATCH("Percent",ТабЗаказы[#Headers],0),0))/100,200/COUNTIF(ТабПозиции[orderNum],ТабПозиции[[#This Row],[orderNum]])),0),"")</f>
        <v>110</v>
      </c>
      <c r="Q1431">
        <f>IF(OR(ТабПозиции[[#This Row],[item]]="По штрихкоду",ТабПозиции[[#This Row],[item]]="Посылка"),ТабПозиции[[#This Row],[deliverySumm]]+ТабПозиции[[#This Row],[deliveryPost]],SUM(N1431:P1431))</f>
        <v>840</v>
      </c>
      <c r="R1431" s="41">
        <v>840</v>
      </c>
      <c r="S1431" s="46">
        <f>ТабПозиции[[#This Row],[totalSumm]]-ТабПозиции[[#This Row],[payment]]</f>
        <v>0</v>
      </c>
      <c r="T1431" s="18" t="s">
        <v>970</v>
      </c>
      <c r="U1431" s="40" t="s">
        <v>545</v>
      </c>
      <c r="V1431" s="40" t="str">
        <f>IF(AND(ТабПозиции[[#This Row],[Остаток]]=0,ТабПозиции[[#This Row],[Заказан]]="Да"),"Да","Нет")</f>
        <v>Да</v>
      </c>
      <c r="W1431" s="40" t="str">
        <f>IF(AND(ТабПозиции[[#This Row],[Остаток]]=0,ТабПозиции[[#This Row],[Заказан]]="Да"),"Да","Нет")</f>
        <v>Да</v>
      </c>
      <c r="X1431" s="3"/>
      <c r="Y1431"/>
    </row>
    <row r="1432" spans="1:25" hidden="1" x14ac:dyDescent="0.25">
      <c r="A1432" s="10">
        <v>380</v>
      </c>
      <c r="B1432" s="1">
        <f>IFERROR(VLOOKUP(ТабПозиции[[#This Row],[orderNum]],ТабЗаказы[#Data],MATCH(B$7,ТабЗаказы[#Headers],0),0),"")</f>
        <v>45634</v>
      </c>
      <c r="C1432" t="str">
        <f>MONTH(ТабПозиции[[#This Row],[date]])&amp;"/"&amp;YEAR(ТабПозиции[[#This Row],[date]])</f>
        <v>12/2024</v>
      </c>
      <c r="D1432" s="1" t="str">
        <f>IFERROR(VLOOKUP(ТабПозиции[[#This Row],[orderNum]],ТабЗаказы[#Data],MATCH(D$7,ТабЗаказы[#Headers],0),0),"")</f>
        <v/>
      </c>
      <c r="E1432" s="1" t="str">
        <f>IFERROR(VLOOKUP(ТабПозиции[[#This Row],[orderNum]],ТабЗаказы[#Data],MATCH(E$7,ТабЗаказы[#Headers],0),0),"")</f>
        <v/>
      </c>
      <c r="F1432" s="16" t="s">
        <v>1412</v>
      </c>
      <c r="G1432" s="40" t="s">
        <v>545</v>
      </c>
      <c r="I1432" s="18">
        <v>45637</v>
      </c>
      <c r="J1432" s="10">
        <v>1</v>
      </c>
      <c r="K1432" s="10">
        <v>331</v>
      </c>
      <c r="L1432">
        <f>ТабПозиции[[#This Row],[discountPrice]]*ТабПозиции[[#This Row],[quantity]]</f>
        <v>331</v>
      </c>
      <c r="M1432" s="10">
        <v>349</v>
      </c>
      <c r="N1432">
        <f t="shared" si="27"/>
        <v>349</v>
      </c>
      <c r="P14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Row],[orderNum]],ТабПозиции[orderSumm])&gt;1500),ABS(N1432*VLOOKUP(ТабПозиции[[#This Row],[orderNum]],ТабЗаказы[#Data],MATCH("Percent",ТабЗаказы[#Headers],0),0))/100,200/COUNTIF(ТабПозиции[orderNum],ТабПозиции[[#This Row],[orderNum]])),0),"")</f>
        <v>52</v>
      </c>
      <c r="Q1432">
        <f>IF(OR(ТабПозиции[[#This Row],[item]]="По штрихкоду",ТабПозиции[[#This Row],[item]]="Посылка"),ТабПозиции[[#This Row],[deliverySumm]]+ТабПозиции[[#This Row],[deliveryPost]],SUM(N1432:P1432))</f>
        <v>401</v>
      </c>
      <c r="R1432" s="41">
        <v>401</v>
      </c>
      <c r="S1432" s="46">
        <f>ТабПозиции[[#This Row],[totalSumm]]-ТабПозиции[[#This Row],[payment]]</f>
        <v>0</v>
      </c>
      <c r="T1432" s="18" t="s">
        <v>970</v>
      </c>
      <c r="U1432" s="40" t="s">
        <v>545</v>
      </c>
      <c r="V1432" s="40" t="str">
        <f>IF(AND(ТабПозиции[[#This Row],[Остаток]]=0,ТабПозиции[[#This Row],[Заказан]]="Да"),"Да","Нет")</f>
        <v>Да</v>
      </c>
      <c r="W1432" s="40" t="str">
        <f>IF(AND(ТабПозиции[[#This Row],[Остаток]]=0,ТабПозиции[[#This Row],[Заказан]]="Да"),"Да","Нет")</f>
        <v>Да</v>
      </c>
      <c r="X1432" s="3"/>
      <c r="Y1432"/>
    </row>
    <row r="1433" spans="1:25" hidden="1" x14ac:dyDescent="0.25">
      <c r="A1433" s="10">
        <v>380</v>
      </c>
      <c r="B1433" s="1">
        <f>IFERROR(VLOOKUP(ТабПозиции[[#This Row],[orderNum]],ТабЗаказы[#Data],MATCH(B$7,ТабЗаказы[#Headers],0),0),"")</f>
        <v>45634</v>
      </c>
      <c r="C1433" t="str">
        <f>MONTH(ТабПозиции[[#This Row],[date]])&amp;"/"&amp;YEAR(ТабПозиции[[#This Row],[date]])</f>
        <v>12/2024</v>
      </c>
      <c r="D1433" s="1" t="str">
        <f>IFERROR(VLOOKUP(ТабПозиции[[#This Row],[orderNum]],ТабЗаказы[#Data],MATCH(D$7,ТабЗаказы[#Headers],0),0),"")</f>
        <v/>
      </c>
      <c r="E1433" s="1" t="str">
        <f>IFERROR(VLOOKUP(ТабПозиции[[#This Row],[orderNum]],ТабЗаказы[#Data],MATCH(E$7,ТабЗаказы[#Headers],0),0),"")</f>
        <v/>
      </c>
      <c r="F1433" s="16" t="s">
        <v>1961</v>
      </c>
      <c r="G1433" s="40" t="s">
        <v>545</v>
      </c>
      <c r="I1433" s="18">
        <v>45636</v>
      </c>
      <c r="J1433" s="10">
        <v>1</v>
      </c>
      <c r="K1433" s="10">
        <v>128</v>
      </c>
      <c r="L1433">
        <f>ТабПозиции[[#This Row],[discountPrice]]*ТабПозиции[[#This Row],[quantity]]</f>
        <v>128</v>
      </c>
      <c r="M1433" s="10">
        <v>135</v>
      </c>
      <c r="N1433">
        <f t="shared" si="27"/>
        <v>135</v>
      </c>
      <c r="P14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Row],[orderNum]],ТабПозиции[orderSumm])&gt;1500),ABS(N1433*VLOOKUP(ТабПозиции[[#This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433">
        <f>IF(OR(ТабПозиции[[#This Row],[item]]="По штрихкоду",ТабПозиции[[#This Row],[item]]="Посылка"),ТабПозиции[[#This Row],[deliverySumm]]+ТабПозиции[[#This Row],[deliveryPost]],SUM(N1433:P1433))</f>
        <v>155</v>
      </c>
      <c r="R1433" s="41">
        <v>155</v>
      </c>
      <c r="S1433" s="46">
        <f>ТабПозиции[[#This Row],[totalSumm]]-ТабПозиции[[#This Row],[payment]]</f>
        <v>0</v>
      </c>
      <c r="T1433" s="18" t="s">
        <v>970</v>
      </c>
      <c r="U1433" s="40" t="s">
        <v>545</v>
      </c>
      <c r="V1433" s="40" t="str">
        <f>IF(AND(ТабПозиции[[#This Row],[Остаток]]=0,ТабПозиции[[#This Row],[Заказан]]="Да"),"Да","Нет")</f>
        <v>Да</v>
      </c>
      <c r="W1433" s="40" t="str">
        <f>IF(AND(ТабПозиции[[#This Row],[Остаток]]=0,ТабПозиции[[#This Row],[Заказан]]="Да"),"Да","Нет")</f>
        <v>Да</v>
      </c>
      <c r="X1433" s="3"/>
      <c r="Y1433"/>
    </row>
    <row r="1434" spans="1:25" hidden="1" x14ac:dyDescent="0.25">
      <c r="A1434" s="10">
        <v>380</v>
      </c>
      <c r="B1434" s="1">
        <f>IFERROR(VLOOKUP(ТабПозиции[[#This Row],[orderNum]],ТабЗаказы[#Data],MATCH(B$7,ТабЗаказы[#Headers],0),0),"")</f>
        <v>45634</v>
      </c>
      <c r="C1434" t="str">
        <f>MONTH(ТабПозиции[[#This Row],[date]])&amp;"/"&amp;YEAR(ТабПозиции[[#This Row],[date]])</f>
        <v>12/2024</v>
      </c>
      <c r="D1434" s="1" t="str">
        <f>IFERROR(VLOOKUP(ТабПозиции[[#This Row],[orderNum]],ТабЗаказы[#Data],MATCH(D$7,ТабЗаказы[#Headers],0),0),"")</f>
        <v/>
      </c>
      <c r="E1434" s="1" t="str">
        <f>IFERROR(VLOOKUP(ТабПозиции[[#This Row],[orderNum]],ТабЗаказы[#Data],MATCH(E$7,ТабЗаказы[#Headers],0),0),"")</f>
        <v/>
      </c>
      <c r="F1434" s="16" t="s">
        <v>639</v>
      </c>
      <c r="G1434" s="40" t="s">
        <v>545</v>
      </c>
      <c r="I1434" s="18">
        <v>45637</v>
      </c>
      <c r="J1434" s="10">
        <v>1</v>
      </c>
      <c r="K1434" s="10">
        <v>435</v>
      </c>
      <c r="L1434">
        <f>ТабПозиции[[#This Row],[discountPrice]]*ТабПозиции[[#This Row],[quantity]]</f>
        <v>435</v>
      </c>
      <c r="M1434" s="10">
        <v>458</v>
      </c>
      <c r="N1434">
        <f t="shared" si="27"/>
        <v>458</v>
      </c>
      <c r="P14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Row],[orderNum]],ТабПозиции[orderSumm])&gt;1500),ABS(N1434*VLOOKUP(ТабПозиции[[#This Row],[orderNum]],ТабЗаказы[#Data],MATCH("Percent",ТабЗаказы[#Headers],0),0))/100,200/COUNTIF(ТабПозиции[orderNum],ТабПозиции[[#This Row],[orderNum]])),0),"")</f>
        <v>69</v>
      </c>
      <c r="Q1434">
        <f>IF(OR(ТабПозиции[[#This Row],[item]]="По штрихкоду",ТабПозиции[[#This Row],[item]]="Посылка"),ТабПозиции[[#This Row],[deliverySumm]]+ТабПозиции[[#This Row],[deliveryPost]],SUM(N1434:P1434))</f>
        <v>527</v>
      </c>
      <c r="R1434" s="41">
        <v>527</v>
      </c>
      <c r="S1434" s="46">
        <f>ТабПозиции[[#This Row],[totalSumm]]-ТабПозиции[[#This Row],[payment]]</f>
        <v>0</v>
      </c>
      <c r="T1434" s="18" t="s">
        <v>970</v>
      </c>
      <c r="U1434" s="40" t="s">
        <v>545</v>
      </c>
      <c r="V1434" s="40" t="str">
        <f>IF(AND(ТабПозиции[[#This Row],[Остаток]]=0,ТабПозиции[[#This Row],[Заказан]]="Да"),"Да","Нет")</f>
        <v>Да</v>
      </c>
      <c r="W1434" s="40" t="str">
        <f>IF(AND(ТабПозиции[[#This Row],[Остаток]]=0,ТабПозиции[[#This Row],[Заказан]]="Да"),"Да","Нет")</f>
        <v>Да</v>
      </c>
      <c r="X1434" s="3"/>
      <c r="Y1434"/>
    </row>
    <row r="1435" spans="1:25" hidden="1" x14ac:dyDescent="0.25">
      <c r="A1435" s="10">
        <v>380</v>
      </c>
      <c r="B1435" s="1">
        <f>IFERROR(VLOOKUP(ТабПозиции[[#This Row],[orderNum]],ТабЗаказы[#Data],MATCH(B$7,ТабЗаказы[#Headers],0),0),"")</f>
        <v>45634</v>
      </c>
      <c r="C1435" t="str">
        <f>MONTH(ТабПозиции[[#This Row],[date]])&amp;"/"&amp;YEAR(ТабПозиции[[#This Row],[date]])</f>
        <v>12/2024</v>
      </c>
      <c r="D1435" s="1" t="str">
        <f>IFERROR(VLOOKUP(ТабПозиции[[#This Row],[orderNum]],ТабЗаказы[#Data],MATCH(D$7,ТабЗаказы[#Headers],0),0),"")</f>
        <v/>
      </c>
      <c r="E1435" s="1" t="str">
        <f>IFERROR(VLOOKUP(ТабПозиции[[#This Row],[orderNum]],ТабЗаказы[#Data],MATCH(E$7,ТабЗаказы[#Headers],0),0),"")</f>
        <v/>
      </c>
      <c r="F1435" s="16" t="s">
        <v>1962</v>
      </c>
      <c r="G1435" s="40" t="s">
        <v>552</v>
      </c>
      <c r="I1435" s="18">
        <v>45638</v>
      </c>
      <c r="J1435" s="10">
        <v>1</v>
      </c>
      <c r="K1435" s="10">
        <v>191</v>
      </c>
      <c r="L1435">
        <f>ТабПозиции[[#This Row],[discountPrice]]*ТабПозиции[[#This Row],[quantity]]</f>
        <v>191</v>
      </c>
      <c r="M1435" s="10">
        <v>202</v>
      </c>
      <c r="N1435">
        <f t="shared" si="27"/>
        <v>202</v>
      </c>
      <c r="P14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Row],[orderNum]],ТабПозиции[orderSumm])&gt;1500),ABS(N1435*VLOOKUP(ТабПозиции[[#This Row],[orderNum]],ТабЗаказы[#Data],MATCH("Percent",ТабЗаказы[#Headers],0),0))/100,200/COUNTIF(ТабПозиции[orderNum],ТабПозиции[[#This Row],[orderNum]])),0),"")</f>
        <v>30</v>
      </c>
      <c r="Q1435">
        <f>IF(OR(ТабПозиции[[#This Row],[item]]="По штрихкоду",ТабПозиции[[#This Row],[item]]="Посылка"),ТабПозиции[[#This Row],[deliverySumm]]+ТабПозиции[[#This Row],[deliveryPost]],SUM(N1435:P1435))</f>
        <v>232</v>
      </c>
      <c r="R1435" s="41">
        <v>232</v>
      </c>
      <c r="S1435" s="46">
        <f>ТабПозиции[[#This Row],[totalSumm]]-ТабПозиции[[#This Row],[payment]]</f>
        <v>0</v>
      </c>
      <c r="T1435" s="18" t="s">
        <v>970</v>
      </c>
      <c r="U1435" s="40" t="s">
        <v>545</v>
      </c>
      <c r="V1435" s="40" t="str">
        <f>IF(AND(ТабПозиции[[#This Row],[Остаток]]=0,ТабПозиции[[#This Row],[Заказан]]="Да"),"Да","Нет")</f>
        <v>Да</v>
      </c>
      <c r="W1435" s="40" t="str">
        <f>IF(AND(ТабПозиции[[#This Row],[Остаток]]=0,ТабПозиции[[#This Row],[Заказан]]="Да"),"Да","Нет")</f>
        <v>Да</v>
      </c>
      <c r="X1435" s="3"/>
      <c r="Y1435"/>
    </row>
    <row r="1436" spans="1:25" hidden="1" x14ac:dyDescent="0.25">
      <c r="A1436" s="10">
        <v>380</v>
      </c>
      <c r="B1436" s="1">
        <f>IFERROR(VLOOKUP(ТабПозиции[[#This Row],[orderNum]],ТабЗаказы[#Data],MATCH(B$7,ТабЗаказы[#Headers],0),0),"")</f>
        <v>45634</v>
      </c>
      <c r="C1436" t="str">
        <f>MONTH(ТабПозиции[[#This Row],[date]])&amp;"/"&amp;YEAR(ТабПозиции[[#This Row],[date]])</f>
        <v>12/2024</v>
      </c>
      <c r="D1436" s="1" t="str">
        <f>IFERROR(VLOOKUP(ТабПозиции[[#This Row],[orderNum]],ТабЗаказы[#Data],MATCH(D$7,ТабЗаказы[#Headers],0),0),"")</f>
        <v/>
      </c>
      <c r="E1436" s="1" t="str">
        <f>IFERROR(VLOOKUP(ТабПозиции[[#This Row],[orderNum]],ТабЗаказы[#Data],MATCH(E$7,ТабЗаказы[#Headers],0),0),"")</f>
        <v/>
      </c>
      <c r="F1436" s="16" t="s">
        <v>1963</v>
      </c>
      <c r="G1436" s="40" t="s">
        <v>552</v>
      </c>
      <c r="I1436" s="18">
        <v>45646</v>
      </c>
      <c r="J1436" s="10">
        <v>1</v>
      </c>
      <c r="K1436" s="10">
        <v>342</v>
      </c>
      <c r="L1436">
        <f>ТабПозиции[[#This Row],[discountPrice]]*ТабПозиции[[#This Row],[quantity]]</f>
        <v>342</v>
      </c>
      <c r="M1436" s="10">
        <v>360</v>
      </c>
      <c r="N1436">
        <f t="shared" si="27"/>
        <v>360</v>
      </c>
      <c r="P14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Row],[orderNum]],ТабПозиции[orderSumm])&gt;1500),ABS(N1436*VLOOKUP(ТабПозиции[[#This Row],[orderNum]],ТабЗаказы[#Data],MATCH("Percent",ТабЗаказы[#Headers],0),0))/100,200/COUNTIF(ТабПозиции[orderNum],ТабПозиции[[#This Row],[orderNum]])),0),"")</f>
        <v>54</v>
      </c>
      <c r="Q1436">
        <f>IF(OR(ТабПозиции[[#This Row],[item]]="По штрихкоду",ТабПозиции[[#This Row],[item]]="Посылка"),ТабПозиции[[#This Row],[deliverySumm]]+ТабПозиции[[#This Row],[deliveryPost]],SUM(N1436:P1436))</f>
        <v>414</v>
      </c>
      <c r="R1436" s="41">
        <v>414</v>
      </c>
      <c r="S1436" s="46">
        <f>ТабПозиции[[#This Row],[totalSumm]]-ТабПозиции[[#This Row],[payment]]</f>
        <v>0</v>
      </c>
      <c r="T1436" s="18" t="s">
        <v>970</v>
      </c>
      <c r="U1436" s="40" t="s">
        <v>545</v>
      </c>
      <c r="V1436" s="40" t="str">
        <f>IF(AND(ТабПозиции[[#This Row],[Остаток]]=0,ТабПозиции[[#This Row],[Заказан]]="Да"),"Да","Нет")</f>
        <v>Да</v>
      </c>
      <c r="W1436" s="40" t="s">
        <v>545</v>
      </c>
      <c r="X1436" s="3"/>
      <c r="Y1436"/>
    </row>
    <row r="1437" spans="1:25" hidden="1" x14ac:dyDescent="0.25">
      <c r="A1437" s="10">
        <v>380</v>
      </c>
      <c r="B1437" s="1">
        <f>IFERROR(VLOOKUP(ТабПозиции[[#This Row],[orderNum]],ТабЗаказы[#Data],MATCH(B$7,ТабЗаказы[#Headers],0),0),"")</f>
        <v>45634</v>
      </c>
      <c r="C1437" t="str">
        <f>MONTH(ТабПозиции[[#This Row],[date]])&amp;"/"&amp;YEAR(ТабПозиции[[#This Row],[date]])</f>
        <v>12/2024</v>
      </c>
      <c r="D1437" s="1" t="str">
        <f>IFERROR(VLOOKUP(ТабПозиции[[#This Row],[orderNum]],ТабЗаказы[#Data],MATCH(D$7,ТабЗаказы[#Headers],0),0),"")</f>
        <v/>
      </c>
      <c r="E1437" s="1" t="str">
        <f>IFERROR(VLOOKUP(ТабПозиции[[#This Row],[orderNum]],ТабЗаказы[#Data],MATCH(E$7,ТабЗаказы[#Headers],0),0),"")</f>
        <v/>
      </c>
      <c r="F1437" s="16" t="s">
        <v>1964</v>
      </c>
      <c r="G1437" s="40" t="s">
        <v>545</v>
      </c>
      <c r="I1437" s="18">
        <v>45639</v>
      </c>
      <c r="J1437" s="10">
        <v>1</v>
      </c>
      <c r="K1437" s="10">
        <v>288</v>
      </c>
      <c r="L1437">
        <f>ТабПозиции[[#This Row],[discountPrice]]*ТабПозиции[[#This Row],[quantity]]</f>
        <v>288</v>
      </c>
      <c r="M1437" s="10">
        <v>304</v>
      </c>
      <c r="N1437">
        <f t="shared" si="27"/>
        <v>304</v>
      </c>
      <c r="P14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Row],[orderNum]],ТабПозиции[orderSumm])&gt;1500),ABS(N1437*VLOOKUP(ТабПозиции[[#This Row],[orderNum]],ТабЗаказы[#Data],MATCH("Percent",ТабЗаказы[#Headers],0),0))/100,200/COUNTIF(ТабПозиции[orderNum],ТабПозиции[[#This Row],[orderNum]])),0),"")</f>
        <v>46</v>
      </c>
      <c r="Q1437">
        <f>IF(OR(ТабПозиции[[#This Row],[item]]="По штрихкоду",ТабПозиции[[#This Row],[item]]="Посылка"),ТабПозиции[[#This Row],[deliverySumm]]+ТабПозиции[[#This Row],[deliveryPost]],SUM(N1437:P1437))</f>
        <v>350</v>
      </c>
      <c r="R1437" s="41">
        <v>350</v>
      </c>
      <c r="S1437" s="46">
        <f>ТабПозиции[[#This Row],[totalSumm]]-ТабПозиции[[#This Row],[payment]]</f>
        <v>0</v>
      </c>
      <c r="T1437" s="18" t="s">
        <v>970</v>
      </c>
      <c r="U1437" s="40" t="s">
        <v>545</v>
      </c>
      <c r="V1437" s="40" t="str">
        <f>IF(AND(ТабПозиции[[#This Row],[Остаток]]=0,ТабПозиции[[#This Row],[Заказан]]="Да"),"Да","Нет")</f>
        <v>Да</v>
      </c>
      <c r="W1437" s="40" t="s">
        <v>545</v>
      </c>
      <c r="X1437" s="3"/>
      <c r="Y1437"/>
    </row>
    <row r="1438" spans="1:25" hidden="1" x14ac:dyDescent="0.25">
      <c r="A1438" s="10">
        <v>380</v>
      </c>
      <c r="B1438" s="1">
        <f>IFERROR(VLOOKUP(ТабПозиции[[#This Row],[orderNum]],ТабЗаказы[#Data],MATCH(B$7,ТабЗаказы[#Headers],0),0),"")</f>
        <v>45634</v>
      </c>
      <c r="C1438" t="str">
        <f>MONTH(ТабПозиции[[#This Row],[date]])&amp;"/"&amp;YEAR(ТабПозиции[[#This Row],[date]])</f>
        <v>12/2024</v>
      </c>
      <c r="D1438" s="1" t="str">
        <f>IFERROR(VLOOKUP(ТабПозиции[[#This Row],[orderNum]],ТабЗаказы[#Data],MATCH(D$7,ТабЗаказы[#Headers],0),0),"")</f>
        <v/>
      </c>
      <c r="E1438" s="1" t="str">
        <f>IFERROR(VLOOKUP(ТабПозиции[[#This Row],[orderNum]],ТабЗаказы[#Data],MATCH(E$7,ТабЗаказы[#Headers],0),0),"")</f>
        <v/>
      </c>
      <c r="F1438" s="16" t="s">
        <v>1965</v>
      </c>
      <c r="G1438" s="40" t="s">
        <v>545</v>
      </c>
      <c r="I1438" s="18">
        <v>45636</v>
      </c>
      <c r="J1438" s="10">
        <v>1</v>
      </c>
      <c r="K1438" s="10">
        <v>634</v>
      </c>
      <c r="L1438">
        <f>ТабПозиции[[#This Row],[discountPrice]]*ТабПозиции[[#This Row],[quantity]]</f>
        <v>634</v>
      </c>
      <c r="M1438" s="10">
        <v>668</v>
      </c>
      <c r="N1438">
        <f t="shared" si="27"/>
        <v>668</v>
      </c>
      <c r="P14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Row],[orderNum]],ТабПозиции[orderSumm])&gt;1500),ABS(N1438*VLOOKUP(ТабПозиции[[#This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1438">
        <f>IF(OR(ТабПозиции[[#This Row],[item]]="По штрихкоду",ТабПозиции[[#This Row],[item]]="Посылка"),ТабПозиции[[#This Row],[deliverySumm]]+ТабПозиции[[#This Row],[deliveryPost]],SUM(N1438:P1438))</f>
        <v>768</v>
      </c>
      <c r="R1438" s="41">
        <v>768</v>
      </c>
      <c r="S1438" s="46">
        <f>ТабПозиции[[#This Row],[totalSumm]]-ТабПозиции[[#This Row],[payment]]</f>
        <v>0</v>
      </c>
      <c r="T1438" s="18" t="s">
        <v>970</v>
      </c>
      <c r="U1438" s="40" t="s">
        <v>545</v>
      </c>
      <c r="V1438" s="40" t="str">
        <f>IF(AND(ТабПозиции[[#This Row],[Остаток]]=0,ТабПозиции[[#This Row],[Заказан]]="Да"),"Да","Нет")</f>
        <v>Да</v>
      </c>
      <c r="W1438" s="40" t="str">
        <f>IF(AND(ТабПозиции[[#This Row],[Остаток]]=0,ТабПозиции[[#This Row],[Заказан]]="Да"),"Да","Нет")</f>
        <v>Да</v>
      </c>
      <c r="X1438" s="3"/>
      <c r="Y1438"/>
    </row>
    <row r="1439" spans="1:25" hidden="1" x14ac:dyDescent="0.25">
      <c r="A1439" s="10">
        <v>379</v>
      </c>
      <c r="B1439" s="1">
        <f>IFERROR(VLOOKUP(ТабПозиции[[#This Row],[orderNum]],ТабЗаказы[#Data],MATCH(B$7,ТабЗаказы[#Headers],0),0),"")</f>
        <v>45632</v>
      </c>
      <c r="C1439" t="str">
        <f>MONTH(ТабПозиции[[#This Row],[date]])&amp;"/"&amp;YEAR(ТабПозиции[[#This Row],[date]])</f>
        <v>12/2024</v>
      </c>
      <c r="D1439" s="1" t="str">
        <f>IFERROR(VLOOKUP(ТабПозиции[[#This Row],[orderNum]],ТабЗаказы[#Data],MATCH(D$7,ТабЗаказы[#Headers],0),0),"")</f>
        <v/>
      </c>
      <c r="E1439" s="1" t="str">
        <f>IFERROR(VLOOKUP(ТабПозиции[[#This Row],[orderNum]],ТабЗаказы[#Data],MATCH(E$7,ТабЗаказы[#Headers],0),0),"")</f>
        <v/>
      </c>
      <c r="F1439" s="16" t="s">
        <v>1966</v>
      </c>
      <c r="G1439" s="40" t="s">
        <v>545</v>
      </c>
      <c r="I1439" s="18">
        <v>45636</v>
      </c>
      <c r="J1439" s="10">
        <v>1</v>
      </c>
      <c r="K1439" s="10">
        <v>243</v>
      </c>
      <c r="L1439">
        <f>ТабПозиции[[#This Row],[discountPrice]]*ТабПозиции[[#This Row],[quantity]]</f>
        <v>243</v>
      </c>
      <c r="M1439" s="10">
        <v>256</v>
      </c>
      <c r="N1439">
        <f t="shared" si="27"/>
        <v>256</v>
      </c>
      <c r="P14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Row],[orderNum]],ТабПозиции[orderSumm])&gt;1500),ABS(N1439*VLOOKUP(ТабПозиции[[#This Row],[orderNum]],ТабЗаказы[#Data],MATCH("Percent",ТабЗаказы[#Headers],0),0))/100,200/COUNTIF(ТабПозиции[orderNum],ТабПозиции[[#This Row],[orderNum]])),0),"")</f>
        <v>38</v>
      </c>
      <c r="Q1439">
        <f>IF(OR(ТабПозиции[[#This Row],[item]]="По штрихкоду",ТабПозиции[[#This Row],[item]]="Посылка"),ТабПозиции[[#This Row],[deliverySumm]]+ТабПозиции[[#This Row],[deliveryPost]],SUM(N1439:P1439))</f>
        <v>294</v>
      </c>
      <c r="R1439" s="41">
        <v>294</v>
      </c>
      <c r="S1439" s="46">
        <f>ТабПозиции[[#This Row],[totalSumm]]-ТабПозиции[[#This Row],[payment]]</f>
        <v>0</v>
      </c>
      <c r="T1439" s="18" t="s">
        <v>970</v>
      </c>
      <c r="U1439" s="40" t="s">
        <v>545</v>
      </c>
      <c r="V1439" s="40" t="str">
        <f>IF(AND(ТабПозиции[[#This Row],[Остаток]]=0,ТабПозиции[[#This Row],[Заказан]]="Да"),"Да","Нет")</f>
        <v>Да</v>
      </c>
      <c r="W1439" s="40" t="str">
        <f>IF(AND(ТабПозиции[[#This Row],[Остаток]]=0,ТабПозиции[[#This Row],[Заказан]]="Да"),"Да","Нет")</f>
        <v>Да</v>
      </c>
      <c r="X1439" s="3"/>
      <c r="Y1439"/>
    </row>
    <row r="1440" spans="1:25" hidden="1" x14ac:dyDescent="0.25">
      <c r="A1440" s="10">
        <v>379</v>
      </c>
      <c r="B1440" s="1">
        <f>IFERROR(VLOOKUP(ТабПозиции[[#This Row],[orderNum]],ТабЗаказы[#Data],MATCH(B$7,ТабЗаказы[#Headers],0),0),"")</f>
        <v>45632</v>
      </c>
      <c r="C1440" t="str">
        <f>MONTH(ТабПозиции[[#This Row],[date]])&amp;"/"&amp;YEAR(ТабПозиции[[#This Row],[date]])</f>
        <v>12/2024</v>
      </c>
      <c r="D1440" s="1" t="str">
        <f>IFERROR(VLOOKUP(ТабПозиции[[#This Row],[orderNum]],ТабЗаказы[#Data],MATCH(D$7,ТабЗаказы[#Headers],0),0),"")</f>
        <v/>
      </c>
      <c r="E1440" s="1" t="str">
        <f>IFERROR(VLOOKUP(ТабПозиции[[#This Row],[orderNum]],ТабЗаказы[#Data],MATCH(E$7,ТабЗаказы[#Headers],0),0),"")</f>
        <v/>
      </c>
      <c r="F1440" s="16" t="s">
        <v>1967</v>
      </c>
      <c r="G1440" s="40" t="s">
        <v>545</v>
      </c>
      <c r="I1440" s="18">
        <v>45639</v>
      </c>
      <c r="J1440" s="10">
        <v>1</v>
      </c>
      <c r="K1440" s="10">
        <v>188</v>
      </c>
      <c r="L1440">
        <f>ТабПозиции[[#This Row],[discountPrice]]*ТабПозиции[[#This Row],[quantity]]</f>
        <v>188</v>
      </c>
      <c r="M1440" s="10">
        <v>198</v>
      </c>
      <c r="N1440">
        <f t="shared" si="27"/>
        <v>198</v>
      </c>
      <c r="P14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Row],[orderNum]],ТабПозиции[orderSumm])&gt;1500),ABS(N1440*VLOOKUP(ТабПозиции[[#This Row],[orderNum]],ТабЗаказы[#Data],MATCH("Percent",ТабЗаказы[#Headers],0),0))/100,200/COUNTIF(ТабПозиции[orderNum],ТабПозиции[[#This Row],[orderNum]])),0),"")</f>
        <v>30</v>
      </c>
      <c r="Q1440">
        <f>IF(OR(ТабПозиции[[#This Row],[item]]="По штрихкоду",ТабПозиции[[#This Row],[item]]="Посылка"),ТабПозиции[[#This Row],[deliverySumm]]+ТабПозиции[[#This Row],[deliveryPost]],SUM(N1440:P1440))</f>
        <v>228</v>
      </c>
      <c r="R1440" s="41">
        <v>228</v>
      </c>
      <c r="S1440" s="46">
        <f>ТабПозиции[[#This Row],[totalSumm]]-ТабПозиции[[#This Row],[payment]]</f>
        <v>0</v>
      </c>
      <c r="T1440" s="18" t="s">
        <v>970</v>
      </c>
      <c r="U1440" s="40" t="s">
        <v>545</v>
      </c>
      <c r="V1440" s="40" t="str">
        <f>IF(AND(ТабПозиции[[#This Row],[Остаток]]=0,ТабПозиции[[#This Row],[Заказан]]="Да"),"Да","Нет")</f>
        <v>Да</v>
      </c>
      <c r="W1440" s="40" t="str">
        <f>IF(AND(ТабПозиции[[#This Row],[Остаток]]=0,ТабПозиции[[#This Row],[Заказан]]="Да"),"Да","Нет")</f>
        <v>Да</v>
      </c>
      <c r="X1440" s="3"/>
      <c r="Y1440"/>
    </row>
    <row r="1441" spans="1:25" hidden="1" x14ac:dyDescent="0.25">
      <c r="A1441" s="10">
        <v>381</v>
      </c>
      <c r="B1441" s="1">
        <f>IFERROR(VLOOKUP(ТабПозиции[[#This Row],[orderNum]],ТабЗаказы[#Data],MATCH(B$7,ТабЗаказы[#Headers],0),0),"")</f>
        <v>45634</v>
      </c>
      <c r="C1441" t="str">
        <f>MONTH(ТабПозиции[[#This Row],[date]])&amp;"/"&amp;YEAR(ТабПозиции[[#This Row],[date]])</f>
        <v>12/2024</v>
      </c>
      <c r="D1441" s="1" t="str">
        <f>IFERROR(VLOOKUP(ТабПозиции[[#This Row],[orderNum]],ТабЗаказы[#Data],MATCH(D$7,ТабЗаказы[#Headers],0),0),"")</f>
        <v/>
      </c>
      <c r="E1441" s="1" t="str">
        <f>IFERROR(VLOOKUP(ТабПозиции[[#This Row],[orderNum]],ТабЗаказы[#Data],MATCH(E$7,ТабЗаказы[#Headers],0),0),"")</f>
        <v/>
      </c>
      <c r="F1441" s="16" t="s">
        <v>1584</v>
      </c>
      <c r="G1441" s="40" t="s">
        <v>545</v>
      </c>
      <c r="I1441" s="18">
        <v>45636</v>
      </c>
      <c r="J1441" s="10">
        <v>1</v>
      </c>
      <c r="K1441" s="10">
        <v>433</v>
      </c>
      <c r="L1441">
        <f>ТабПозиции[[#This Row],[discountPrice]]*ТабПозиции[[#This Row],[quantity]]</f>
        <v>433</v>
      </c>
      <c r="M1441" s="10">
        <v>456</v>
      </c>
      <c r="N1441">
        <f t="shared" si="27"/>
        <v>456</v>
      </c>
      <c r="P14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Row],[orderNum]],ТабПозиции[orderSumm])&gt;1500),ABS(N1441*VLOOKUP(ТабПозиции[[#This Row],[orderNum]],ТабЗаказы[#Data],MATCH("Percent",ТабЗаказы[#Headers],0),0))/100,200/COUNTIF(ТабПозиции[orderNum],ТабПозиции[[#This Row],[orderNum]])),0),"")</f>
        <v>46</v>
      </c>
      <c r="Q1441">
        <f>IF(OR(ТабПозиции[[#This Row],[item]]="По штрихкоду",ТабПозиции[[#This Row],[item]]="Посылка"),ТабПозиции[[#This Row],[deliverySumm]]+ТабПозиции[[#This Row],[deliveryPost]],SUM(N1441:P1441))</f>
        <v>502</v>
      </c>
      <c r="R1441" s="41">
        <v>502</v>
      </c>
      <c r="S1441" s="46">
        <f>ТабПозиции[[#This Row],[totalSumm]]-ТабПозиции[[#This Row],[payment]]</f>
        <v>0</v>
      </c>
      <c r="T1441" s="18" t="s">
        <v>970</v>
      </c>
      <c r="U1441" s="40" t="s">
        <v>545</v>
      </c>
      <c r="V1441" s="40" t="str">
        <f>IF(AND(ТабПозиции[[#This Row],[Остаток]]=0,ТабПозиции[[#This Row],[Заказан]]="Да"),"Да","Нет")</f>
        <v>Да</v>
      </c>
      <c r="W1441" s="40" t="s">
        <v>545</v>
      </c>
      <c r="X1441" s="3"/>
      <c r="Y1441"/>
    </row>
    <row r="1442" spans="1:25" hidden="1" x14ac:dyDescent="0.25">
      <c r="A1442" s="10">
        <v>381</v>
      </c>
      <c r="B1442" s="1">
        <f>IFERROR(VLOOKUP(ТабПозиции[[#This Row],[orderNum]],ТабЗаказы[#Data],MATCH(B$7,ТабЗаказы[#Headers],0),0),"")</f>
        <v>45634</v>
      </c>
      <c r="C1442" t="str">
        <f>MONTH(ТабПозиции[[#This Row],[date]])&amp;"/"&amp;YEAR(ТабПозиции[[#This Row],[date]])</f>
        <v>12/2024</v>
      </c>
      <c r="D1442" s="1" t="str">
        <f>IFERROR(VLOOKUP(ТабПозиции[[#This Row],[orderNum]],ТабЗаказы[#Data],MATCH(D$7,ТабЗаказы[#Headers],0),0),"")</f>
        <v/>
      </c>
      <c r="E1442" s="1" t="str">
        <f>IFERROR(VLOOKUP(ТабПозиции[[#This Row],[orderNum]],ТабЗаказы[#Data],MATCH(E$7,ТабЗаказы[#Headers],0),0),"")</f>
        <v/>
      </c>
      <c r="F1442" s="16" t="s">
        <v>1584</v>
      </c>
      <c r="G1442" s="40" t="s">
        <v>545</v>
      </c>
      <c r="I1442" s="18">
        <v>45637</v>
      </c>
      <c r="J1442" s="10">
        <v>1</v>
      </c>
      <c r="K1442" s="10">
        <v>413</v>
      </c>
      <c r="L1442">
        <f>ТабПозиции[[#This Row],[discountPrice]]*ТабПозиции[[#This Row],[quantity]]</f>
        <v>413</v>
      </c>
      <c r="M1442" s="10">
        <v>435</v>
      </c>
      <c r="N1442">
        <f t="shared" si="27"/>
        <v>435</v>
      </c>
      <c r="P14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Row],[orderNum]],ТабПозиции[orderSumm])&gt;1500),ABS(N1442*VLOOKUP(ТабПозиции[[#This Row],[orderNum]],ТабЗаказы[#Data],MATCH("Percent",ТабЗаказы[#Headers],0),0))/100,200/COUNTIF(ТабПозиции[orderNum],ТабПозиции[[#This Row],[orderNum]])),0),"")</f>
        <v>44</v>
      </c>
      <c r="Q1442">
        <f>IF(OR(ТабПозиции[[#This Row],[item]]="По штрихкоду",ТабПозиции[[#This Row],[item]]="Посылка"),ТабПозиции[[#This Row],[deliverySumm]]+ТабПозиции[[#This Row],[deliveryPost]],SUM(N1442:P1442))</f>
        <v>479</v>
      </c>
      <c r="R1442" s="41">
        <v>479</v>
      </c>
      <c r="S1442" s="46">
        <f>ТабПозиции[[#This Row],[totalSumm]]-ТабПозиции[[#This Row],[payment]]</f>
        <v>0</v>
      </c>
      <c r="T1442" s="18" t="s">
        <v>970</v>
      </c>
      <c r="U1442" s="40" t="s">
        <v>545</v>
      </c>
      <c r="V1442" s="40" t="str">
        <f>IF(AND(ТабПозиции[[#This Row],[Остаток]]=0,ТабПозиции[[#This Row],[Заказан]]="Да"),"Да","Нет")</f>
        <v>Да</v>
      </c>
      <c r="W1442" s="40" t="s">
        <v>545</v>
      </c>
      <c r="X1442" s="3"/>
      <c r="Y1442"/>
    </row>
    <row r="1443" spans="1:25" hidden="1" x14ac:dyDescent="0.25">
      <c r="A1443" s="10">
        <v>381</v>
      </c>
      <c r="B1443" s="1">
        <f>IFERROR(VLOOKUP(ТабПозиции[[#This Row],[orderNum]],ТабЗаказы[#Data],MATCH(B$7,ТабЗаказы[#Headers],0),0),"")</f>
        <v>45634</v>
      </c>
      <c r="C1443" t="str">
        <f>MONTH(ТабПозиции[[#This Row],[date]])&amp;"/"&amp;YEAR(ТабПозиции[[#This Row],[date]])</f>
        <v>12/2024</v>
      </c>
      <c r="D1443" s="1" t="str">
        <f>IFERROR(VLOOKUP(ТабПозиции[[#This Row],[orderNum]],ТабЗаказы[#Data],MATCH(D$7,ТабЗаказы[#Headers],0),0),"")</f>
        <v/>
      </c>
      <c r="E1443" s="1" t="str">
        <f>IFERROR(VLOOKUP(ТабПозиции[[#This Row],[orderNum]],ТабЗаказы[#Data],MATCH(E$7,ТабЗаказы[#Headers],0),0),"")</f>
        <v/>
      </c>
      <c r="F1443" s="16" t="s">
        <v>1584</v>
      </c>
      <c r="G1443" s="40" t="s">
        <v>545</v>
      </c>
      <c r="I1443" s="18">
        <v>45637</v>
      </c>
      <c r="J1443" s="10">
        <v>1</v>
      </c>
      <c r="K1443" s="10">
        <v>413</v>
      </c>
      <c r="L1443">
        <f>ТабПозиции[[#This Row],[discountPrice]]*ТабПозиции[[#This Row],[quantity]]</f>
        <v>413</v>
      </c>
      <c r="M1443" s="10">
        <v>435</v>
      </c>
      <c r="N1443">
        <f t="shared" si="27"/>
        <v>435</v>
      </c>
      <c r="P14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Row],[orderNum]],ТабПозиции[orderSumm])&gt;1500),ABS(N1443*VLOOKUP(ТабПозиции[[#This Row],[orderNum]],ТабЗаказы[#Data],MATCH("Percent",ТабЗаказы[#Headers],0),0))/100,200/COUNTIF(ТабПозиции[orderNum],ТабПозиции[[#This Row],[orderNum]])),0),"")</f>
        <v>44</v>
      </c>
      <c r="Q1443">
        <f>IF(OR(ТабПозиции[[#This Row],[item]]="По штрихкоду",ТабПозиции[[#This Row],[item]]="Посылка"),ТабПозиции[[#This Row],[deliverySumm]]+ТабПозиции[[#This Row],[deliveryPost]],SUM(N1443:P1443))</f>
        <v>479</v>
      </c>
      <c r="R1443" s="41">
        <v>479</v>
      </c>
      <c r="S1443" s="46">
        <f>ТабПозиции[[#This Row],[totalSumm]]-ТабПозиции[[#This Row],[payment]]</f>
        <v>0</v>
      </c>
      <c r="T1443" s="18" t="s">
        <v>970</v>
      </c>
      <c r="U1443" s="40" t="s">
        <v>545</v>
      </c>
      <c r="V1443" s="40" t="str">
        <f>IF(AND(ТабПозиции[[#This Row],[Остаток]]=0,ТабПозиции[[#This Row],[Заказан]]="Да"),"Да","Нет")</f>
        <v>Да</v>
      </c>
      <c r="W1443" s="40" t="s">
        <v>545</v>
      </c>
      <c r="X1443" s="3"/>
      <c r="Y1443"/>
    </row>
    <row r="1444" spans="1:25" hidden="1" x14ac:dyDescent="0.25">
      <c r="A1444" s="10">
        <v>381</v>
      </c>
      <c r="B1444" s="1">
        <f>IFERROR(VLOOKUP(ТабПозиции[[#This Row],[orderNum]],ТабЗаказы[#Data],MATCH(B$7,ТабЗаказы[#Headers],0),0),"")</f>
        <v>45634</v>
      </c>
      <c r="C1444" t="str">
        <f>MONTH(ТабПозиции[[#This Row],[date]])&amp;"/"&amp;YEAR(ТабПозиции[[#This Row],[date]])</f>
        <v>12/2024</v>
      </c>
      <c r="D1444" s="1" t="str">
        <f>IFERROR(VLOOKUP(ТабПозиции[[#This Row],[orderNum]],ТабЗаказы[#Data],MATCH(D$7,ТабЗаказы[#Headers],0),0),"")</f>
        <v/>
      </c>
      <c r="E1444" s="1" t="str">
        <f>IFERROR(VLOOKUP(ТабПозиции[[#This Row],[orderNum]],ТабЗаказы[#Data],MATCH(E$7,ТабЗаказы[#Headers],0),0),"")</f>
        <v/>
      </c>
      <c r="F1444" s="16" t="s">
        <v>1755</v>
      </c>
      <c r="G1444" s="40" t="s">
        <v>545</v>
      </c>
      <c r="I1444" s="18">
        <v>45637</v>
      </c>
      <c r="J1444" s="10">
        <v>1</v>
      </c>
      <c r="K1444" s="10">
        <v>247</v>
      </c>
      <c r="L1444">
        <f>ТабПозиции[[#This Row],[discountPrice]]*ТабПозиции[[#This Row],[quantity]]</f>
        <v>247</v>
      </c>
      <c r="M1444" s="10">
        <v>261</v>
      </c>
      <c r="N1444">
        <f t="shared" si="27"/>
        <v>261</v>
      </c>
      <c r="P14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Row],[orderNum]],ТабПозиции[orderSumm])&gt;1500),ABS(N1444*VLOOKUP(ТабПозиции[[#This Row],[orderNum]],ТабЗаказы[#Data],MATCH("Percent",ТабЗаказы[#Headers],0),0))/100,200/COUNTIF(ТабПозиции[orderNum],ТабПозиции[[#This Row],[orderNum]])),0),"")</f>
        <v>26</v>
      </c>
      <c r="Q1444">
        <f>IF(OR(ТабПозиции[[#This Row],[item]]="По штрихкоду",ТабПозиции[[#This Row],[item]]="Посылка"),ТабПозиции[[#This Row],[deliverySumm]]+ТабПозиции[[#This Row],[deliveryPost]],SUM(N1444:P1444))</f>
        <v>287</v>
      </c>
      <c r="R1444" s="41">
        <v>287</v>
      </c>
      <c r="S1444" s="46">
        <f>ТабПозиции[[#This Row],[totalSumm]]-ТабПозиции[[#This Row],[payment]]</f>
        <v>0</v>
      </c>
      <c r="T1444" s="18" t="s">
        <v>970</v>
      </c>
      <c r="U1444" s="40" t="s">
        <v>545</v>
      </c>
      <c r="V1444" s="40" t="str">
        <f>IF(AND(ТабПозиции[[#This Row],[Остаток]]=0,ТабПозиции[[#This Row],[Заказан]]="Да"),"Да","Нет")</f>
        <v>Да</v>
      </c>
      <c r="W1444" s="40" t="s">
        <v>545</v>
      </c>
      <c r="X1444" s="3"/>
      <c r="Y1444"/>
    </row>
    <row r="1445" spans="1:25" hidden="1" x14ac:dyDescent="0.25">
      <c r="A1445" s="10">
        <v>381</v>
      </c>
      <c r="B1445" s="1">
        <f>IFERROR(VLOOKUP(ТабПозиции[[#This Row],[orderNum]],ТабЗаказы[#Data],MATCH(B$7,ТабЗаказы[#Headers],0),0),"")</f>
        <v>45634</v>
      </c>
      <c r="C1445" t="str">
        <f>MONTH(ТабПозиции[[#This Row],[date]])&amp;"/"&amp;YEAR(ТабПозиции[[#This Row],[date]])</f>
        <v>12/2024</v>
      </c>
      <c r="D1445" s="1" t="str">
        <f>IFERROR(VLOOKUP(ТабПозиции[[#This Row],[orderNum]],ТабЗаказы[#Data],MATCH(D$7,ТабЗаказы[#Headers],0),0),"")</f>
        <v/>
      </c>
      <c r="E1445" s="1" t="str">
        <f>IFERROR(VLOOKUP(ТабПозиции[[#This Row],[orderNum]],ТабЗаказы[#Data],MATCH(E$7,ТабЗаказы[#Headers],0),0),"")</f>
        <v/>
      </c>
      <c r="F1445" s="16" t="s">
        <v>1968</v>
      </c>
      <c r="G1445" s="40" t="s">
        <v>545</v>
      </c>
      <c r="I1445" s="18">
        <v>45636</v>
      </c>
      <c r="J1445" s="10">
        <v>1</v>
      </c>
      <c r="K1445" s="10">
        <v>458</v>
      </c>
      <c r="L1445">
        <f>ТабПозиции[[#This Row],[discountPrice]]*ТабПозиции[[#This Row],[quantity]]</f>
        <v>458</v>
      </c>
      <c r="M1445" s="10">
        <v>483</v>
      </c>
      <c r="N1445">
        <f t="shared" si="27"/>
        <v>483</v>
      </c>
      <c r="P14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Row],[orderNum]],ТабПозиции[orderSumm])&gt;1500),ABS(N1445*VLOOKUP(ТабПозиции[[#This Row],[orderNum]],ТабЗаказы[#Data],MATCH("Percent",ТабЗаказы[#Headers],0),0))/100,200/COUNTIF(ТабПозиции[orderNum],ТабПозиции[[#This Row],[orderNum]])),0),"")</f>
        <v>48</v>
      </c>
      <c r="Q1445">
        <f>IF(OR(ТабПозиции[[#This Row],[item]]="По штрихкоду",ТабПозиции[[#This Row],[item]]="Посылка"),ТабПозиции[[#This Row],[deliverySumm]]+ТабПозиции[[#This Row],[deliveryPost]],SUM(N1445:P1445))</f>
        <v>531</v>
      </c>
      <c r="R1445" s="41">
        <v>531</v>
      </c>
      <c r="S1445" s="46">
        <f>ТабПозиции[[#This Row],[totalSumm]]-ТабПозиции[[#This Row],[payment]]</f>
        <v>0</v>
      </c>
      <c r="T1445" s="18" t="s">
        <v>970</v>
      </c>
      <c r="U1445" s="40" t="s">
        <v>545</v>
      </c>
      <c r="V1445" s="40" t="str">
        <f>IF(AND(ТабПозиции[[#This Row],[Остаток]]=0,ТабПозиции[[#This Row],[Заказан]]="Да"),"Да","Нет")</f>
        <v>Да</v>
      </c>
      <c r="W1445" s="40" t="s">
        <v>545</v>
      </c>
      <c r="X1445" s="3"/>
      <c r="Y1445"/>
    </row>
    <row r="1446" spans="1:25" hidden="1" x14ac:dyDescent="0.25">
      <c r="A1446" s="10">
        <v>381</v>
      </c>
      <c r="B1446" s="1">
        <f>IFERROR(VLOOKUP(ТабПозиции[[#This Row],[orderNum]],ТабЗаказы[#Data],MATCH(B$7,ТабЗаказы[#Headers],0),0),"")</f>
        <v>45634</v>
      </c>
      <c r="C1446" t="str">
        <f>MONTH(ТабПозиции[[#This Row],[date]])&amp;"/"&amp;YEAR(ТабПозиции[[#This Row],[date]])</f>
        <v>12/2024</v>
      </c>
      <c r="D1446" s="1" t="str">
        <f>IFERROR(VLOOKUP(ТабПозиции[[#This Row],[orderNum]],ТабЗаказы[#Data],MATCH(D$7,ТабЗаказы[#Headers],0),0),"")</f>
        <v/>
      </c>
      <c r="E1446" s="1" t="str">
        <f>IFERROR(VLOOKUP(ТабПозиции[[#This Row],[orderNum]],ТабЗаказы[#Data],MATCH(E$7,ТабЗаказы[#Headers],0),0),"")</f>
        <v/>
      </c>
      <c r="F1446" s="16" t="s">
        <v>1588</v>
      </c>
      <c r="G1446" s="40" t="s">
        <v>545</v>
      </c>
      <c r="I1446" s="18">
        <v>45637</v>
      </c>
      <c r="J1446" s="10">
        <v>1</v>
      </c>
      <c r="K1446" s="10">
        <v>661</v>
      </c>
      <c r="L1446">
        <f>ТабПозиции[[#This Row],[discountPrice]]*ТабПозиции[[#This Row],[quantity]]</f>
        <v>661</v>
      </c>
      <c r="M1446" s="10">
        <v>696</v>
      </c>
      <c r="N1446">
        <f t="shared" si="27"/>
        <v>696</v>
      </c>
      <c r="P14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Row],[orderNum]],ТабПозиции[orderSumm])&gt;1500),ABS(N1446*VLOOKUP(ТабПозиции[[#This Row],[orderNum]],ТабЗаказы[#Data],MATCH("Percent",ТабЗаказы[#Headers],0),0))/100,200/COUNTIF(ТабПозиции[orderNum],ТабПозиции[[#This Row],[orderNum]])),0),"")</f>
        <v>70</v>
      </c>
      <c r="Q1446">
        <f>IF(OR(ТабПозиции[[#This Row],[item]]="По штрихкоду",ТабПозиции[[#This Row],[item]]="Посылка"),ТабПозиции[[#This Row],[deliverySumm]]+ТабПозиции[[#This Row],[deliveryPost]],SUM(N1446:P1446))</f>
        <v>766</v>
      </c>
      <c r="R1446" s="41">
        <v>766</v>
      </c>
      <c r="S1446" s="46">
        <f>ТабПозиции[[#This Row],[totalSumm]]-ТабПозиции[[#This Row],[payment]]</f>
        <v>0</v>
      </c>
      <c r="T1446" s="18" t="s">
        <v>970</v>
      </c>
      <c r="U1446" s="40" t="s">
        <v>545</v>
      </c>
      <c r="V1446" s="40" t="str">
        <f>IF(AND(ТабПозиции[[#This Row],[Остаток]]=0,ТабПозиции[[#This Row],[Заказан]]="Да"),"Да","Нет")</f>
        <v>Да</v>
      </c>
      <c r="W1446" s="40" t="s">
        <v>545</v>
      </c>
      <c r="X1446" s="3"/>
      <c r="Y1446"/>
    </row>
    <row r="1447" spans="1:25" hidden="1" x14ac:dyDescent="0.25">
      <c r="A1447" s="10">
        <v>382</v>
      </c>
      <c r="B1447" s="1">
        <f>IFERROR(VLOOKUP(ТабПозиции[[#This Row],[orderNum]],ТабЗаказы[#Data],MATCH(B$7,ТабЗаказы[#Headers],0),0),"")</f>
        <v>45635</v>
      </c>
      <c r="C1447" t="str">
        <f>MONTH(ТабПозиции[[#This Row],[date]])&amp;"/"&amp;YEAR(ТабПозиции[[#This Row],[date]])</f>
        <v>12/2024</v>
      </c>
      <c r="D1447" s="1" t="str">
        <f>IFERROR(VLOOKUP(ТабПозиции[[#This Row],[orderNum]],ТабЗаказы[#Data],MATCH(D$7,ТабЗаказы[#Headers],0),0),"")</f>
        <v/>
      </c>
      <c r="E1447" s="1" t="str">
        <f>IFERROR(VLOOKUP(ТабПозиции[[#This Row],[orderNum]],ТабЗаказы[#Data],MATCH(E$7,ТабЗаказы[#Headers],0),0),"")</f>
        <v/>
      </c>
      <c r="F1447" s="16" t="s">
        <v>1969</v>
      </c>
      <c r="G1447" s="40" t="s">
        <v>545</v>
      </c>
      <c r="I1447" s="18">
        <v>45638</v>
      </c>
      <c r="J1447" s="10">
        <v>1</v>
      </c>
      <c r="K1447" s="10">
        <v>767</v>
      </c>
      <c r="L1447">
        <f>ТабПозиции[[#This Row],[discountPrice]]*ТабПозиции[[#This Row],[quantity]]</f>
        <v>767</v>
      </c>
      <c r="M1447" s="10">
        <v>828</v>
      </c>
      <c r="N1447">
        <f t="shared" si="27"/>
        <v>828</v>
      </c>
      <c r="P14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Row],[orderNum]],ТабПозиции[orderSumm])&gt;1500),ABS(N1447*VLOOKUP(ТабПозиции[[#This Row],[orderNum]],ТабЗаказы[#Data],MATCH("Percent",ТабЗаказы[#Headers],0),0))/100,200/COUNTIF(ТабПозиции[orderNum],ТабПозиции[[#This Row],[orderNum]])),0),"")</f>
        <v>83</v>
      </c>
      <c r="Q1447">
        <f>IF(OR(ТабПозиции[[#This Row],[item]]="По штрихкоду",ТабПозиции[[#This Row],[item]]="Посылка"),ТабПозиции[[#This Row],[deliverySumm]]+ТабПозиции[[#This Row],[deliveryPost]],SUM(N1447:P1447))</f>
        <v>911</v>
      </c>
      <c r="R1447" s="41">
        <v>911</v>
      </c>
      <c r="S1447" s="46">
        <f>ТабПозиции[[#This Row],[totalSumm]]-ТабПозиции[[#This Row],[payment]]</f>
        <v>0</v>
      </c>
      <c r="T1447" s="18" t="s">
        <v>960</v>
      </c>
      <c r="U1447" s="40" t="s">
        <v>545</v>
      </c>
      <c r="V1447" s="40" t="str">
        <f>IF(AND(ТабПозиции[[#This Row],[Остаток]]=0,ТабПозиции[[#This Row],[Заказан]]="Да"),"Да","Нет")</f>
        <v>Да</v>
      </c>
      <c r="W1447" s="40" t="str">
        <f>IF(AND(ТабПозиции[[#This Row],[Остаток]]=0,ТабПозиции[[#This Row],[Заказан]]="Да"),"Да","Нет")</f>
        <v>Да</v>
      </c>
      <c r="X1447" s="3"/>
      <c r="Y1447"/>
    </row>
    <row r="1448" spans="1:25" hidden="1" x14ac:dyDescent="0.25">
      <c r="A1448" s="10">
        <v>382</v>
      </c>
      <c r="B1448" s="1">
        <f>IFERROR(VLOOKUP(ТабПозиции[[#This Row],[orderNum]],ТабЗаказы[#Data],MATCH(B$7,ТабЗаказы[#Headers],0),0),"")</f>
        <v>45635</v>
      </c>
      <c r="C1448" t="str">
        <f>MONTH(ТабПозиции[[#This Row],[date]])&amp;"/"&amp;YEAR(ТабПозиции[[#This Row],[date]])</f>
        <v>12/2024</v>
      </c>
      <c r="D1448" s="1" t="str">
        <f>IFERROR(VLOOKUP(ТабПозиции[[#This Row],[orderNum]],ТабЗаказы[#Data],MATCH(D$7,ТабЗаказы[#Headers],0),0),"")</f>
        <v/>
      </c>
      <c r="E1448" s="1" t="str">
        <f>IFERROR(VLOOKUP(ТабПозиции[[#This Row],[orderNum]],ТабЗаказы[#Data],MATCH(E$7,ТабЗаказы[#Headers],0),0),"")</f>
        <v/>
      </c>
      <c r="F1448" s="16" t="s">
        <v>1762</v>
      </c>
      <c r="G1448" s="40" t="s">
        <v>545</v>
      </c>
      <c r="H1448" s="12" t="s">
        <v>2042</v>
      </c>
      <c r="I1448" s="18">
        <v>45293</v>
      </c>
      <c r="J1448" s="10">
        <v>4</v>
      </c>
      <c r="K1448" s="10">
        <v>726</v>
      </c>
      <c r="L1448">
        <f>ТабПозиции[[#This Row],[discountPrice]]*ТабПозиции[[#This Row],[quantity]]</f>
        <v>2904</v>
      </c>
      <c r="M1448" s="10">
        <v>738</v>
      </c>
      <c r="N1448">
        <f t="shared" si="27"/>
        <v>2952</v>
      </c>
      <c r="P14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Row],[orderNum]],ТабПозиции[orderSumm])&gt;1500),ABS(N1448*VLOOKUP(ТабПозиции[[#This Row],[orderNum]],ТабЗаказы[#Data],MATCH("Percent",ТабЗаказы[#Headers],0),0))/100,200/COUNTIF(ТабПозиции[orderNum],ТабПозиции[[#This Row],[orderNum]])),0),"")</f>
        <v>295</v>
      </c>
      <c r="Q1448">
        <f>IF(OR(ТабПозиции[[#This Row],[item]]="По штрихкоду",ТабПозиции[[#This Row],[item]]="Посылка"),ТабПозиции[[#This Row],[deliverySumm]]+ТабПозиции[[#This Row],[deliveryPost]],SUM(N1448:P1448))</f>
        <v>3247</v>
      </c>
      <c r="R1448" s="41">
        <v>3247</v>
      </c>
      <c r="S1448" s="46">
        <f>ТабПозиции[[#This Row],[totalSumm]]-ТабПозиции[[#This Row],[payment]]</f>
        <v>0</v>
      </c>
      <c r="T1448" s="18" t="s">
        <v>960</v>
      </c>
      <c r="U1448" s="40" t="s">
        <v>545</v>
      </c>
      <c r="V1448" s="40" t="str">
        <f>IF(AND(ТабПозиции[[#This Row],[Остаток]]=0,ТабПозиции[[#This Row],[Заказан]]="Да"),"Да","Нет")</f>
        <v>Да</v>
      </c>
      <c r="W1448" s="40" t="str">
        <f>IF(AND(ТабПозиции[[#This Row],[Остаток]]=0,ТабПозиции[[#This Row],[Заказан]]="Да"),"Да","Нет")</f>
        <v>Да</v>
      </c>
      <c r="X1448" s="3"/>
      <c r="Y1448"/>
    </row>
    <row r="1449" spans="1:25" hidden="1" x14ac:dyDescent="0.25">
      <c r="A1449" s="10">
        <v>382</v>
      </c>
      <c r="B1449" s="1">
        <f>IFERROR(VLOOKUP(ТабПозиции[[#This Row],[orderNum]],ТабЗаказы[#Data],MATCH(B$7,ТабЗаказы[#Headers],0),0),"")</f>
        <v>45635</v>
      </c>
      <c r="C1449" t="str">
        <f>MONTH(ТабПозиции[[#This Row],[date]])&amp;"/"&amp;YEAR(ТабПозиции[[#This Row],[date]])</f>
        <v>12/2024</v>
      </c>
      <c r="D1449" s="1" t="str">
        <f>IFERROR(VLOOKUP(ТабПозиции[[#This Row],[orderNum]],ТабЗаказы[#Data],MATCH(D$7,ТабЗаказы[#Headers],0),0),"")</f>
        <v/>
      </c>
      <c r="E1449" s="1" t="str">
        <f>IFERROR(VLOOKUP(ТабПозиции[[#This Row],[orderNum]],ТабЗаказы[#Data],MATCH(E$7,ТабЗаказы[#Headers],0),0),"")</f>
        <v/>
      </c>
      <c r="F1449" s="16" t="s">
        <v>1970</v>
      </c>
      <c r="G1449" s="40" t="s">
        <v>545</v>
      </c>
      <c r="I1449" s="18">
        <v>45636</v>
      </c>
      <c r="J1449" s="10">
        <v>1</v>
      </c>
      <c r="K1449" s="10">
        <v>558</v>
      </c>
      <c r="L1449">
        <f>ТабПозиции[[#This Row],[discountPrice]]*ТабПозиции[[#This Row],[quantity]]</f>
        <v>558</v>
      </c>
      <c r="M1449" s="10">
        <v>616</v>
      </c>
      <c r="N1449">
        <f t="shared" si="27"/>
        <v>616</v>
      </c>
      <c r="P14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Row],[orderNum]],ТабПозиции[orderSumm])&gt;1500),ABS(N1449*VLOOKUP(ТабПозиции[[#This Row],[orderNum]],ТабЗаказы[#Data],MATCH("Percent",ТабЗаказы[#Headers],0),0))/100,200/COUNTIF(ТабПозиции[orderNum],ТабПозиции[[#This Row],[orderNum]])),0),"")</f>
        <v>62</v>
      </c>
      <c r="Q1449">
        <f>IF(OR(ТабПозиции[[#This Row],[item]]="По штрихкоду",ТабПозиции[[#This Row],[item]]="Посылка"),ТабПозиции[[#This Row],[deliverySumm]]+ТабПозиции[[#This Row],[deliveryPost]],SUM(N1449:P1449))</f>
        <v>678</v>
      </c>
      <c r="R1449" s="41">
        <v>678</v>
      </c>
      <c r="S1449" s="46">
        <f>ТабПозиции[[#This Row],[totalSumm]]-ТабПозиции[[#This Row],[payment]]</f>
        <v>0</v>
      </c>
      <c r="T1449" s="18" t="s">
        <v>960</v>
      </c>
      <c r="U1449" s="40" t="s">
        <v>545</v>
      </c>
      <c r="V1449" s="40" t="str">
        <f>IF(AND(ТабПозиции[[#This Row],[Остаток]]=0,ТабПозиции[[#This Row],[Заказан]]="Да"),"Да","Нет")</f>
        <v>Да</v>
      </c>
      <c r="W1449" s="40" t="str">
        <f>IF(AND(ТабПозиции[[#This Row],[Остаток]]=0,ТабПозиции[[#This Row],[Заказан]]="Да"),"Да","Нет")</f>
        <v>Да</v>
      </c>
      <c r="X1449" s="3"/>
      <c r="Y1449"/>
    </row>
    <row r="1450" spans="1:25" hidden="1" x14ac:dyDescent="0.25">
      <c r="A1450" s="10">
        <v>382</v>
      </c>
      <c r="B1450" s="1">
        <f>IFERROR(VLOOKUP(ТабПозиции[[#This Row],[orderNum]],ТабЗаказы[#Data],MATCH(B$7,ТабЗаказы[#Headers],0),0),"")</f>
        <v>45635</v>
      </c>
      <c r="C1450" t="str">
        <f>MONTH(ТабПозиции[[#This Row],[date]])&amp;"/"&amp;YEAR(ТабПозиции[[#This Row],[date]])</f>
        <v>12/2024</v>
      </c>
      <c r="D1450" s="1" t="str">
        <f>IFERROR(VLOOKUP(ТабПозиции[[#This Row],[orderNum]],ТабЗаказы[#Data],MATCH(D$7,ТабЗаказы[#Headers],0),0),"")</f>
        <v/>
      </c>
      <c r="E1450" s="1" t="str">
        <f>IFERROR(VLOOKUP(ТабПозиции[[#This Row],[orderNum]],ТабЗаказы[#Data],MATCH(E$7,ТабЗаказы[#Headers],0),0),"")</f>
        <v/>
      </c>
      <c r="F1450" s="16" t="s">
        <v>1971</v>
      </c>
      <c r="G1450" s="40" t="s">
        <v>545</v>
      </c>
      <c r="I1450" s="18">
        <v>45642</v>
      </c>
      <c r="J1450" s="10">
        <v>1</v>
      </c>
      <c r="K1450" s="10">
        <v>1366</v>
      </c>
      <c r="L1450">
        <f>ТабПозиции[[#This Row],[discountPrice]]*ТабПозиции[[#This Row],[quantity]]</f>
        <v>1366</v>
      </c>
      <c r="M1450" s="10">
        <v>1510</v>
      </c>
      <c r="N1450">
        <f t="shared" si="27"/>
        <v>1510</v>
      </c>
      <c r="P14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Row],[orderNum]],ТабПозиции[orderSumm])&gt;1500),ABS(N1450*VLOOKUP(ТабПозиции[[#This Row],[orderNum]],ТабЗаказы[#Data],MATCH("Percent",ТабЗаказы[#Headers],0),0))/100,200/COUNTIF(ТабПозиции[orderNum],ТабПозиции[[#This Row],[orderNum]])),0),"")</f>
        <v>151</v>
      </c>
      <c r="Q1450">
        <f>IF(OR(ТабПозиции[[#This Row],[item]]="По штрихкоду",ТабПозиции[[#This Row],[item]]="Посылка"),ТабПозиции[[#This Row],[deliverySumm]]+ТабПозиции[[#This Row],[deliveryPost]],SUM(N1450:P1450))</f>
        <v>1661</v>
      </c>
      <c r="R1450" s="41">
        <v>1661</v>
      </c>
      <c r="S1450" s="46">
        <f>ТабПозиции[[#This Row],[totalSumm]]-ТабПозиции[[#This Row],[payment]]</f>
        <v>0</v>
      </c>
      <c r="T1450" s="18" t="s">
        <v>960</v>
      </c>
      <c r="U1450" s="40" t="s">
        <v>545</v>
      </c>
      <c r="V1450" s="40" t="str">
        <f>IF(AND(ТабПозиции[[#This Row],[Остаток]]=0,ТабПозиции[[#This Row],[Заказан]]="Да"),"Да","Нет")</f>
        <v>Да</v>
      </c>
      <c r="W1450" s="40" t="s">
        <v>545</v>
      </c>
      <c r="X1450" s="3"/>
      <c r="Y1450"/>
    </row>
    <row r="1451" spans="1:25" hidden="1" x14ac:dyDescent="0.25">
      <c r="A1451" s="10">
        <v>382</v>
      </c>
      <c r="B1451" s="1">
        <f>IFERROR(VLOOKUP(ТабПозиции[[#This Row],[orderNum]],ТабЗаказы[#Data],MATCH(B$7,ТабЗаказы[#Headers],0),0),"")</f>
        <v>45635</v>
      </c>
      <c r="C1451" t="str">
        <f>MONTH(ТабПозиции[[#This Row],[date]])&amp;"/"&amp;YEAR(ТабПозиции[[#This Row],[date]])</f>
        <v>12/2024</v>
      </c>
      <c r="D1451" s="1" t="str">
        <f>IFERROR(VLOOKUP(ТабПозиции[[#This Row],[orderNum]],ТабЗаказы[#Data],MATCH(D$7,ТабЗаказы[#Headers],0),0),"")</f>
        <v/>
      </c>
      <c r="E1451" s="1" t="str">
        <f>IFERROR(VLOOKUP(ТабПозиции[[#This Row],[orderNum]],ТабЗаказы[#Data],MATCH(E$7,ТабЗаказы[#Headers],0),0),"")</f>
        <v/>
      </c>
      <c r="F1451" s="16" t="s">
        <v>1972</v>
      </c>
      <c r="G1451" s="40" t="s">
        <v>545</v>
      </c>
      <c r="I1451" s="18">
        <v>45640</v>
      </c>
      <c r="J1451" s="10">
        <v>2</v>
      </c>
      <c r="K1451" s="10">
        <v>993</v>
      </c>
      <c r="L1451">
        <f>ТабПозиции[[#This Row],[discountPrice]]*ТабПозиции[[#This Row],[quantity]]</f>
        <v>1986</v>
      </c>
      <c r="M1451" s="10">
        <v>1055</v>
      </c>
      <c r="N1451">
        <f t="shared" si="27"/>
        <v>2110</v>
      </c>
      <c r="P14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Row],[orderNum]],ТабПозиции[orderSumm])&gt;1500),ABS(N1451*VLOOKUP(ТабПозиции[[#This Row],[orderNum]],ТабЗаказы[#Data],MATCH("Percent",ТабЗаказы[#Headers],0),0))/100,200/COUNTIF(ТабПозиции[orderNum],ТабПозиции[[#This Row],[orderNum]])),0),"")</f>
        <v>211</v>
      </c>
      <c r="Q1451">
        <f>IF(OR(ТабПозиции[[#This Row],[item]]="По штрихкоду",ТабПозиции[[#This Row],[item]]="Посылка"),ТабПозиции[[#This Row],[deliverySumm]]+ТабПозиции[[#This Row],[deliveryPost]],SUM(N1451:P1451))</f>
        <v>2321</v>
      </c>
      <c r="R1451" s="41">
        <v>2321</v>
      </c>
      <c r="S1451" s="46">
        <f>ТабПозиции[[#This Row],[totalSumm]]-ТабПозиции[[#This Row],[payment]]</f>
        <v>0</v>
      </c>
      <c r="T1451" s="18" t="s">
        <v>960</v>
      </c>
      <c r="U1451" s="40" t="s">
        <v>545</v>
      </c>
      <c r="V1451" s="40" t="str">
        <f>IF(AND(ТабПозиции[[#This Row],[Остаток]]=0,ТабПозиции[[#This Row],[Заказан]]="Да"),"Да","Нет")</f>
        <v>Да</v>
      </c>
      <c r="W1451" s="40" t="s">
        <v>545</v>
      </c>
      <c r="X1451" s="3"/>
      <c r="Y1451"/>
    </row>
    <row r="1452" spans="1:25" hidden="1" x14ac:dyDescent="0.25">
      <c r="A1452" s="10">
        <v>382</v>
      </c>
      <c r="B1452" s="1">
        <f>IFERROR(VLOOKUP(ТабПозиции[[#This Row],[orderNum]],ТабЗаказы[#Data],MATCH(B$7,ТабЗаказы[#Headers],0),0),"")</f>
        <v>45635</v>
      </c>
      <c r="C1452" t="str">
        <f>MONTH(ТабПозиции[[#This Row],[date]])&amp;"/"&amp;YEAR(ТабПозиции[[#This Row],[date]])</f>
        <v>12/2024</v>
      </c>
      <c r="D1452" s="1" t="str">
        <f>IFERROR(VLOOKUP(ТабПозиции[[#This Row],[orderNum]],ТабЗаказы[#Data],MATCH(D$7,ТабЗаказы[#Headers],0),0),"")</f>
        <v/>
      </c>
      <c r="E1452" s="1" t="str">
        <f>IFERROR(VLOOKUP(ТабПозиции[[#This Row],[orderNum]],ТабЗаказы[#Data],MATCH(E$7,ТабЗаказы[#Headers],0),0),"")</f>
        <v/>
      </c>
      <c r="F1452" s="16" t="s">
        <v>1973</v>
      </c>
      <c r="G1452" s="40" t="s">
        <v>545</v>
      </c>
      <c r="I1452" s="18">
        <v>45641</v>
      </c>
      <c r="J1452" s="10">
        <v>1</v>
      </c>
      <c r="K1452" s="10">
        <v>1003</v>
      </c>
      <c r="L1452">
        <f>ТабПозиции[[#This Row],[discountPrice]]*ТабПозиции[[#This Row],[quantity]]</f>
        <v>1003</v>
      </c>
      <c r="M1452" s="10">
        <v>1130</v>
      </c>
      <c r="N1452">
        <f t="shared" si="27"/>
        <v>1130</v>
      </c>
      <c r="P14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Row],[orderNum]],ТабПозиции[orderSumm])&gt;1500),ABS(N1452*VLOOKUP(ТабПозиции[[#This Row],[orderNum]],ТабЗаказы[#Data],MATCH("Percent",ТабЗаказы[#Headers],0),0))/100,200/COUNTIF(ТабПозиции[orderNum],ТабПозиции[[#This Row],[orderNum]])),0),"")</f>
        <v>113</v>
      </c>
      <c r="Q1452">
        <f>IF(OR(ТабПозиции[[#This Row],[item]]="По штрихкоду",ТабПозиции[[#This Row],[item]]="Посылка"),ТабПозиции[[#This Row],[deliverySumm]]+ТабПозиции[[#This Row],[deliveryPost]],SUM(N1452:P1452))</f>
        <v>1243</v>
      </c>
      <c r="R1452" s="41">
        <v>1243</v>
      </c>
      <c r="S1452" s="46">
        <f>ТабПозиции[[#This Row],[totalSumm]]-ТабПозиции[[#This Row],[payment]]</f>
        <v>0</v>
      </c>
      <c r="T1452" s="18" t="s">
        <v>960</v>
      </c>
      <c r="U1452" s="40" t="s">
        <v>545</v>
      </c>
      <c r="V1452" s="40" t="str">
        <f>IF(AND(ТабПозиции[[#This Row],[Остаток]]=0,ТабПозиции[[#This Row],[Заказан]]="Да"),"Да","Нет")</f>
        <v>Да</v>
      </c>
      <c r="W1452" s="40" t="s">
        <v>545</v>
      </c>
      <c r="X1452" s="3"/>
      <c r="Y1452"/>
    </row>
    <row r="1453" spans="1:25" hidden="1" x14ac:dyDescent="0.25">
      <c r="A1453" s="10">
        <v>382</v>
      </c>
      <c r="B1453" s="1">
        <f>IFERROR(VLOOKUP(ТабПозиции[[#This Row],[orderNum]],ТабЗаказы[#Data],MATCH(B$7,ТабЗаказы[#Headers],0),0),"")</f>
        <v>45635</v>
      </c>
      <c r="C1453" t="str">
        <f>MONTH(ТабПозиции[[#This Row],[date]])&amp;"/"&amp;YEAR(ТабПозиции[[#This Row],[date]])</f>
        <v>12/2024</v>
      </c>
      <c r="D1453" s="1" t="str">
        <f>IFERROR(VLOOKUP(ТабПозиции[[#This Row],[orderNum]],ТабЗаказы[#Data],MATCH(D$7,ТабЗаказы[#Headers],0),0),"")</f>
        <v/>
      </c>
      <c r="E1453" s="1" t="str">
        <f>IFERROR(VLOOKUP(ТабПозиции[[#This Row],[orderNum]],ТабЗаказы[#Data],MATCH(E$7,ТабЗаказы[#Headers],0),0),"")</f>
        <v/>
      </c>
      <c r="F1453" s="16" t="s">
        <v>1974</v>
      </c>
      <c r="G1453" s="40" t="s">
        <v>545</v>
      </c>
      <c r="I1453" s="18">
        <v>45639</v>
      </c>
      <c r="J1453" s="10">
        <v>1</v>
      </c>
      <c r="K1453" s="10">
        <v>421</v>
      </c>
      <c r="L1453">
        <f>ТабПозиции[[#This Row],[discountPrice]]*ТабПозиции[[#This Row],[quantity]]</f>
        <v>421</v>
      </c>
      <c r="M1453" s="10">
        <v>445</v>
      </c>
      <c r="N1453">
        <f t="shared" si="27"/>
        <v>445</v>
      </c>
      <c r="P14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Row],[orderNum]],ТабПозиции[orderSumm])&gt;1500),ABS(N1453*VLOOKUP(ТабПозиции[[#This Row],[orderNum]],ТабЗаказы[#Data],MATCH("Percent",ТабЗаказы[#Headers],0),0))/100,200/COUNTIF(ТабПозиции[orderNum],ТабПозиции[[#This Row],[orderNum]])),0),"")</f>
        <v>45</v>
      </c>
      <c r="Q1453">
        <f>IF(OR(ТабПозиции[[#This Row],[item]]="По штрихкоду",ТабПозиции[[#This Row],[item]]="Посылка"),ТабПозиции[[#This Row],[deliverySumm]]+ТабПозиции[[#This Row],[deliveryPost]],SUM(N1453:P1453))</f>
        <v>490</v>
      </c>
      <c r="R1453" s="41">
        <v>490</v>
      </c>
      <c r="S1453" s="46">
        <f>ТабПозиции[[#This Row],[totalSumm]]-ТабПозиции[[#This Row],[payment]]</f>
        <v>0</v>
      </c>
      <c r="T1453" s="18" t="s">
        <v>960</v>
      </c>
      <c r="U1453" s="40" t="s">
        <v>545</v>
      </c>
      <c r="V1453" s="40" t="str">
        <f>IF(AND(ТабПозиции[[#This Row],[Остаток]]=0,ТабПозиции[[#This Row],[Заказан]]="Да"),"Да","Нет")</f>
        <v>Да</v>
      </c>
      <c r="W1453" s="40" t="str">
        <f>IF(AND(ТабПозиции[[#This Row],[Остаток]]=0,ТабПозиции[[#This Row],[Заказан]]="Да"),"Да","Нет")</f>
        <v>Да</v>
      </c>
      <c r="X1453" s="3"/>
      <c r="Y1453"/>
    </row>
    <row r="1454" spans="1:25" hidden="1" x14ac:dyDescent="0.25">
      <c r="A1454" s="10">
        <v>382</v>
      </c>
      <c r="B1454" s="1">
        <f>IFERROR(VLOOKUP(ТабПозиции[[#This Row],[orderNum]],ТабЗаказы[#Data],MATCH(B$7,ТабЗаказы[#Headers],0),0),"")</f>
        <v>45635</v>
      </c>
      <c r="C1454" t="str">
        <f>MONTH(ТабПозиции[[#This Row],[date]])&amp;"/"&amp;YEAR(ТабПозиции[[#This Row],[date]])</f>
        <v>12/2024</v>
      </c>
      <c r="D1454" s="1" t="str">
        <f>IFERROR(VLOOKUP(ТабПозиции[[#This Row],[orderNum]],ТабЗаказы[#Data],MATCH(D$7,ТабЗаказы[#Headers],0),0),"")</f>
        <v/>
      </c>
      <c r="E1454" s="1" t="str">
        <f>IFERROR(VLOOKUP(ТабПозиции[[#This Row],[orderNum]],ТабЗаказы[#Data],MATCH(E$7,ТабЗаказы[#Headers],0),0),"")</f>
        <v/>
      </c>
      <c r="F1454" s="16" t="s">
        <v>1975</v>
      </c>
      <c r="G1454" s="40" t="s">
        <v>545</v>
      </c>
      <c r="I1454" s="18">
        <v>45638</v>
      </c>
      <c r="J1454" s="10">
        <v>2</v>
      </c>
      <c r="K1454" s="10">
        <v>225</v>
      </c>
      <c r="L1454">
        <f>ТабПозиции[[#This Row],[discountPrice]]*ТабПозиции[[#This Row],[quantity]]</f>
        <v>450</v>
      </c>
      <c r="M1454" s="10">
        <v>237</v>
      </c>
      <c r="N1454">
        <f t="shared" si="27"/>
        <v>474</v>
      </c>
      <c r="P14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Row],[orderNum]],ТабПозиции[orderSumm])&gt;1500),ABS(N1454*VLOOKUP(ТабПозиции[[#This Row],[orderNum]],ТабЗаказы[#Data],MATCH("Percent",ТабЗаказы[#Headers],0),0))/100,200/COUNTIF(ТабПозиции[orderNum],ТабПозиции[[#This Row],[orderNum]])),0),"")</f>
        <v>47</v>
      </c>
      <c r="Q1454">
        <f>IF(OR(ТабПозиции[[#This Row],[item]]="По штрихкоду",ТабПозиции[[#This Row],[item]]="Посылка"),ТабПозиции[[#This Row],[deliverySumm]]+ТабПозиции[[#This Row],[deliveryPost]],SUM(N1454:P1454))</f>
        <v>521</v>
      </c>
      <c r="R1454" s="41">
        <v>521</v>
      </c>
      <c r="S1454" s="46">
        <f>ТабПозиции[[#This Row],[totalSumm]]-ТабПозиции[[#This Row],[payment]]</f>
        <v>0</v>
      </c>
      <c r="T1454" s="18" t="s">
        <v>970</v>
      </c>
      <c r="U1454" s="40" t="s">
        <v>545</v>
      </c>
      <c r="V1454" s="40" t="str">
        <f>IF(AND(ТабПозиции[[#This Row],[Остаток]]=0,ТабПозиции[[#This Row],[Заказан]]="Да"),"Да","Нет")</f>
        <v>Да</v>
      </c>
      <c r="W1454" s="40" t="s">
        <v>545</v>
      </c>
      <c r="X1454" s="3"/>
      <c r="Y1454"/>
    </row>
    <row r="1455" spans="1:25" hidden="1" x14ac:dyDescent="0.25">
      <c r="A1455" s="10">
        <v>382</v>
      </c>
      <c r="B1455" s="1">
        <f>IFERROR(VLOOKUP(ТабПозиции[[#This Row],[orderNum]],ТабЗаказы[#Data],MATCH(B$7,ТабЗаказы[#Headers],0),0),"")</f>
        <v>45635</v>
      </c>
      <c r="C1455" t="str">
        <f>MONTH(ТабПозиции[[#This Row],[date]])&amp;"/"&amp;YEAR(ТабПозиции[[#This Row],[date]])</f>
        <v>12/2024</v>
      </c>
      <c r="D1455" s="1" t="str">
        <f>IFERROR(VLOOKUP(ТабПозиции[[#This Row],[orderNum]],ТабЗаказы[#Data],MATCH(D$7,ТабЗаказы[#Headers],0),0),"")</f>
        <v/>
      </c>
      <c r="E1455" s="1" t="str">
        <f>IFERROR(VLOOKUP(ТабПозиции[[#This Row],[orderNum]],ТабЗаказы[#Data],MATCH(E$7,ТабЗаказы[#Headers],0),0),"")</f>
        <v/>
      </c>
      <c r="F1455" s="16" t="s">
        <v>1976</v>
      </c>
      <c r="G1455" s="40" t="s">
        <v>545</v>
      </c>
      <c r="I1455" s="18">
        <v>45637</v>
      </c>
      <c r="J1455" s="10">
        <v>1</v>
      </c>
      <c r="K1455" s="10">
        <v>282</v>
      </c>
      <c r="L1455">
        <f>ТабПозиции[[#This Row],[discountPrice]]*ТабПозиции[[#This Row],[quantity]]</f>
        <v>282</v>
      </c>
      <c r="M1455" s="10">
        <v>288</v>
      </c>
      <c r="N1455">
        <f t="shared" si="27"/>
        <v>288</v>
      </c>
      <c r="P14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Row],[orderNum]],ТабПозиции[orderSumm])&gt;1500),ABS(N1455*VLOOKUP(ТабПозиции[[#This Row],[orderNum]],ТабЗаказы[#Data],MATCH("Percent",ТабЗаказы[#Headers],0),0))/100,200/COUNTIF(ТабПозиции[orderNum],ТабПозиции[[#This Row],[orderNum]])),0),"")</f>
        <v>29</v>
      </c>
      <c r="Q1455">
        <f>IF(OR(ТабПозиции[[#This Row],[item]]="По штрихкоду",ТабПозиции[[#This Row],[item]]="Посылка"),ТабПозиции[[#This Row],[deliverySumm]]+ТабПозиции[[#This Row],[deliveryPost]],SUM(N1455:P1455))</f>
        <v>317</v>
      </c>
      <c r="R1455" s="41">
        <v>317</v>
      </c>
      <c r="S1455" s="46">
        <f>ТабПозиции[[#This Row],[totalSumm]]-ТабПозиции[[#This Row],[payment]]</f>
        <v>0</v>
      </c>
      <c r="T1455" s="18" t="s">
        <v>960</v>
      </c>
      <c r="U1455" s="40" t="s">
        <v>545</v>
      </c>
      <c r="V1455" s="40" t="str">
        <f>IF(AND(ТабПозиции[[#This Row],[Остаток]]=0,ТабПозиции[[#This Row],[Заказан]]="Да"),"Да","Нет")</f>
        <v>Да</v>
      </c>
      <c r="W1455" s="40" t="str">
        <f>IF(AND(ТабПозиции[[#This Row],[Остаток]]=0,ТабПозиции[[#This Row],[Заказан]]="Да"),"Да","Нет")</f>
        <v>Да</v>
      </c>
      <c r="X1455" s="3"/>
      <c r="Y1455"/>
    </row>
    <row r="1456" spans="1:25" hidden="1" x14ac:dyDescent="0.25">
      <c r="A1456" s="10">
        <v>382</v>
      </c>
      <c r="B1456" s="1">
        <f>IFERROR(VLOOKUP(ТабПозиции[[#This Row],[orderNum]],ТабЗаказы[#Data],MATCH(B$7,ТабЗаказы[#Headers],0),0),"")</f>
        <v>45635</v>
      </c>
      <c r="C1456" t="str">
        <f>MONTH(ТабПозиции[[#This Row],[date]])&amp;"/"&amp;YEAR(ТабПозиции[[#This Row],[date]])</f>
        <v>12/2024</v>
      </c>
      <c r="D1456" s="1" t="str">
        <f>IFERROR(VLOOKUP(ТабПозиции[[#This Row],[orderNum]],ТабЗаказы[#Data],MATCH(D$7,ТабЗаказы[#Headers],0),0),"")</f>
        <v/>
      </c>
      <c r="E1456" s="1" t="str">
        <f>IFERROR(VLOOKUP(ТабПозиции[[#This Row],[orderNum]],ТабЗаказы[#Data],MATCH(E$7,ТабЗаказы[#Headers],0),0),"")</f>
        <v/>
      </c>
      <c r="F1456" s="16" t="s">
        <v>1977</v>
      </c>
      <c r="G1456" s="40" t="s">
        <v>545</v>
      </c>
      <c r="I1456" s="18">
        <v>45639</v>
      </c>
      <c r="J1456" s="10">
        <v>1</v>
      </c>
      <c r="K1456" s="10">
        <v>2009</v>
      </c>
      <c r="L1456">
        <f>ТабПозиции[[#This Row],[discountPrice]]*ТабПозиции[[#This Row],[quantity]]</f>
        <v>2009</v>
      </c>
      <c r="M1456" s="10">
        <v>2164</v>
      </c>
      <c r="N1456">
        <f t="shared" si="27"/>
        <v>2164</v>
      </c>
      <c r="P14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Row],[orderNum]],ТабПозиции[orderSumm])&gt;1500),ABS(N1456*VLOOKUP(ТабПозиции[[#This Row],[orderNum]],ТабЗаказы[#Data],MATCH("Percent",ТабЗаказы[#Headers],0),0))/100,200/COUNTIF(ТабПозиции[orderNum],ТабПозиции[[#This Row],[orderNum]])),0),"")</f>
        <v>216</v>
      </c>
      <c r="Q1456">
        <f>IF(OR(ТабПозиции[[#This Row],[item]]="По штрихкоду",ТабПозиции[[#This Row],[item]]="Посылка"),ТабПозиции[[#This Row],[deliverySumm]]+ТабПозиции[[#This Row],[deliveryPost]],SUM(N1456:P1456))</f>
        <v>2380</v>
      </c>
      <c r="R1456" s="41">
        <v>2380</v>
      </c>
      <c r="S1456" s="46">
        <f>ТабПозиции[[#This Row],[totalSumm]]-ТабПозиции[[#This Row],[payment]]</f>
        <v>0</v>
      </c>
      <c r="T1456" s="18" t="s">
        <v>960</v>
      </c>
      <c r="U1456" s="40" t="s">
        <v>545</v>
      </c>
      <c r="V1456" s="40" t="str">
        <f>IF(AND(ТабПозиции[[#This Row],[Остаток]]=0,ТабПозиции[[#This Row],[Заказан]]="Да"),"Да","Нет")</f>
        <v>Да</v>
      </c>
      <c r="W1456" s="40" t="s">
        <v>545</v>
      </c>
      <c r="X1456" s="3"/>
      <c r="Y1456"/>
    </row>
    <row r="1457" spans="1:25" hidden="1" x14ac:dyDescent="0.25">
      <c r="A1457" s="10">
        <v>376</v>
      </c>
      <c r="B1457" s="1">
        <f>IFERROR(VLOOKUP(ТабПозиции[[#This Row],[orderNum]],ТабЗаказы[#Data],MATCH(B$7,ТабЗаказы[#Headers],0),0),"")</f>
        <v>45632</v>
      </c>
      <c r="C1457" t="str">
        <f>MONTH(ТабПозиции[[#This Row],[date]])&amp;"/"&amp;YEAR(ТабПозиции[[#This Row],[date]])</f>
        <v>12/2024</v>
      </c>
      <c r="D1457" s="1" t="str">
        <f>IFERROR(VLOOKUP(ТабПозиции[[#This Row],[orderNum]],ТабЗаказы[#Data],MATCH(D$7,ТабЗаказы[#Headers],0),0),"")</f>
        <v/>
      </c>
      <c r="E1457" s="1" t="str">
        <f>IFERROR(VLOOKUP(ТабПозиции[[#This Row],[orderNum]],ТабЗаказы[#Data],MATCH(E$7,ТабЗаказы[#Headers],0),0),"")</f>
        <v/>
      </c>
      <c r="F1457" s="16" t="s">
        <v>1979</v>
      </c>
      <c r="G1457" s="40" t="s">
        <v>545</v>
      </c>
      <c r="I1457" s="18">
        <v>45636</v>
      </c>
      <c r="J1457" s="10">
        <v>1</v>
      </c>
      <c r="K1457" s="10">
        <v>531</v>
      </c>
      <c r="L1457">
        <f>ТабПозиции[[#This Row],[discountPrice]]*ТабПозиции[[#This Row],[quantity]]</f>
        <v>531</v>
      </c>
      <c r="M1457" s="10">
        <v>564</v>
      </c>
      <c r="N1457">
        <f t="shared" si="27"/>
        <v>564</v>
      </c>
      <c r="P14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Row],[orderNum]],ТабПозиции[orderSumm])&gt;1500),ABS(N1457*VLOOKUP(ТабПозиции[[#This Row],[orderNum]],ТабЗаказы[#Data],MATCH("Percent",ТабЗаказы[#Headers],0),0))/100,200/COUNTIF(ТабПозиции[orderNum],ТабПозиции[[#This Row],[orderNum]])),0),"")</f>
        <v>85</v>
      </c>
      <c r="Q1457">
        <f>IF(OR(ТабПозиции[[#This Row],[item]]="По штрихкоду",ТабПозиции[[#This Row],[item]]="Посылка"),ТабПозиции[[#This Row],[deliverySumm]]+ТабПозиции[[#This Row],[deliveryPost]],SUM(N1457:P1457))</f>
        <v>649</v>
      </c>
      <c r="R1457" s="41">
        <v>649</v>
      </c>
      <c r="S1457" s="46">
        <f>ТабПозиции[[#This Row],[totalSumm]]-ТабПозиции[[#This Row],[payment]]</f>
        <v>0</v>
      </c>
      <c r="T1457" s="18" t="s">
        <v>960</v>
      </c>
      <c r="U1457" s="40" t="s">
        <v>545</v>
      </c>
      <c r="V1457" s="40" t="str">
        <f>IF(AND(ТабПозиции[[#This Row],[Остаток]]=0,ТабПозиции[[#This Row],[Заказан]]="Да"),"Да","Нет")</f>
        <v>Да</v>
      </c>
      <c r="W1457" s="40" t="str">
        <f>IF(AND(ТабПозиции[[#This Row],[Остаток]]=0,ТабПозиции[[#This Row],[Заказан]]="Да"),"Да","Нет")</f>
        <v>Да</v>
      </c>
      <c r="X1457" s="3"/>
      <c r="Y1457"/>
    </row>
    <row r="1458" spans="1:25" hidden="1" x14ac:dyDescent="0.25">
      <c r="A1458" s="10">
        <v>376</v>
      </c>
      <c r="B1458" s="1">
        <f>IFERROR(VLOOKUP(ТабПозиции[[#This Row],[orderNum]],ТабЗаказы[#Data],MATCH(B$7,ТабЗаказы[#Headers],0),0),"")</f>
        <v>45632</v>
      </c>
      <c r="C1458" t="str">
        <f>MONTH(ТабПозиции[[#This Row],[date]])&amp;"/"&amp;YEAR(ТабПозиции[[#This Row],[date]])</f>
        <v>12/2024</v>
      </c>
      <c r="D1458" s="1" t="str">
        <f>IFERROR(VLOOKUP(ТабПозиции[[#This Row],[orderNum]],ТабЗаказы[#Data],MATCH(D$7,ТабЗаказы[#Headers],0),0),"")</f>
        <v/>
      </c>
      <c r="E1458" s="1" t="str">
        <f>IFERROR(VLOOKUP(ТабПозиции[[#This Row],[orderNum]],ТабЗаказы[#Data],MATCH(E$7,ТабЗаказы[#Headers],0),0),"")</f>
        <v/>
      </c>
      <c r="F1458" s="16" t="s">
        <v>1978</v>
      </c>
      <c r="G1458" s="40" t="s">
        <v>545</v>
      </c>
      <c r="I1458" s="18">
        <v>45636</v>
      </c>
      <c r="J1458" s="10">
        <v>1</v>
      </c>
      <c r="K1458" s="10">
        <v>202</v>
      </c>
      <c r="L1458">
        <f>ТабПозиции[[#This Row],[discountPrice]]*ТабПозиции[[#This Row],[quantity]]</f>
        <v>202</v>
      </c>
      <c r="M1458" s="10">
        <v>208</v>
      </c>
      <c r="N1458">
        <f t="shared" si="27"/>
        <v>208</v>
      </c>
      <c r="P14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Row],[orderNum]],ТабПозиции[orderSumm])&gt;1500),ABS(N1458*VLOOKUP(ТабПозиции[[#This Row],[orderNum]],ТабЗаказы[#Data],MATCH("Percent",ТабЗаказы[#Headers],0),0))/100,200/COUNTIF(ТабПозиции[orderNum],ТабПозиции[[#This Row],[orderNum]])),0),"")</f>
        <v>31</v>
      </c>
      <c r="Q1458">
        <f>IF(OR(ТабПозиции[[#This Row],[item]]="По штрихкоду",ТабПозиции[[#This Row],[item]]="Посылка"),ТабПозиции[[#This Row],[deliverySumm]]+ТабПозиции[[#This Row],[deliveryPost]],SUM(N1458:P1458))</f>
        <v>239</v>
      </c>
      <c r="R1458" s="41">
        <v>239</v>
      </c>
      <c r="S1458" s="46">
        <f>ТабПозиции[[#This Row],[totalSumm]]-ТабПозиции[[#This Row],[payment]]</f>
        <v>0</v>
      </c>
      <c r="T1458" s="18" t="s">
        <v>960</v>
      </c>
      <c r="U1458" s="40" t="s">
        <v>545</v>
      </c>
      <c r="V1458" s="40" t="str">
        <f>IF(AND(ТабПозиции[[#This Row],[Остаток]]=0,ТабПозиции[[#This Row],[Заказан]]="Да"),"Да","Нет")</f>
        <v>Да</v>
      </c>
      <c r="W1458" s="40" t="str">
        <f>IF(AND(ТабПозиции[[#This Row],[Остаток]]=0,ТабПозиции[[#This Row],[Заказан]]="Да"),"Да","Нет")</f>
        <v>Да</v>
      </c>
      <c r="X1458" s="3"/>
      <c r="Y1458"/>
    </row>
    <row r="1459" spans="1:25" hidden="1" x14ac:dyDescent="0.25">
      <c r="A1459" s="10">
        <v>383</v>
      </c>
      <c r="B1459" s="1">
        <f>IFERROR(VLOOKUP(ТабПозиции[[#This Row],[orderNum]],ТабЗаказы[#Data],MATCH(B$7,ТабЗаказы[#Headers],0),0),"")</f>
        <v>45635</v>
      </c>
      <c r="C1459" t="str">
        <f>MONTH(ТабПозиции[[#This Row],[date]])&amp;"/"&amp;YEAR(ТабПозиции[[#This Row],[date]])</f>
        <v>12/2024</v>
      </c>
      <c r="D1459" s="1" t="str">
        <f>IFERROR(VLOOKUP(ТабПозиции[[#This Row],[orderNum]],ТабЗаказы[#Data],MATCH(D$7,ТабЗаказы[#Headers],0),0),"")</f>
        <v/>
      </c>
      <c r="E1459" s="1" t="str">
        <f>IFERROR(VLOOKUP(ТабПозиции[[#This Row],[orderNum]],ТабЗаказы[#Data],MATCH(E$7,ТабЗаказы[#Headers],0),0),"")</f>
        <v/>
      </c>
      <c r="F1459" s="16" t="s">
        <v>1980</v>
      </c>
      <c r="G1459" s="40" t="s">
        <v>545</v>
      </c>
      <c r="I1459" s="18">
        <v>45636</v>
      </c>
      <c r="J1459" s="10">
        <v>1</v>
      </c>
      <c r="K1459" s="10">
        <v>2271</v>
      </c>
      <c r="L1459">
        <f>ТабПозиции[[#This Row],[discountPrice]]*ТабПозиции[[#This Row],[quantity]]</f>
        <v>2271</v>
      </c>
      <c r="M1459" s="10">
        <v>2410</v>
      </c>
      <c r="N1459">
        <f t="shared" si="27"/>
        <v>2410</v>
      </c>
      <c r="P14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Row],[orderNum]],ТабПозиции[orderSumm])&gt;1500),ABS(N1459*VLOOKUP(ТабПозиции[[#This Row],[orderNum]],ТабЗаказы[#Data],MATCH("Percent",ТабЗаказы[#Headers],0),0))/100,200/COUNTIF(ТабПозиции[orderNum],ТабПозиции[[#This Row],[orderNum]])),0),"")</f>
        <v>362</v>
      </c>
      <c r="Q1459">
        <f>IF(OR(ТабПозиции[[#This Row],[item]]="По штрихкоду",ТабПозиции[[#This Row],[item]]="Посылка"),ТабПозиции[[#This Row],[deliverySumm]]+ТабПозиции[[#This Row],[deliveryPost]],SUM(N1459:P1459))</f>
        <v>2772</v>
      </c>
      <c r="R1459" s="41">
        <v>2772</v>
      </c>
      <c r="S1459" s="46">
        <f>ТабПозиции[[#This Row],[totalSumm]]-ТабПозиции[[#This Row],[payment]]</f>
        <v>0</v>
      </c>
      <c r="T1459" s="18" t="s">
        <v>960</v>
      </c>
      <c r="U1459" s="40" t="s">
        <v>545</v>
      </c>
      <c r="V1459" s="40" t="str">
        <f>IF(AND(ТабПозиции[[#This Row],[Остаток]]=0,ТабПозиции[[#This Row],[Заказан]]="Да"),"Да","Нет")</f>
        <v>Да</v>
      </c>
      <c r="W1459" s="40" t="str">
        <f>IF(AND(ТабПозиции[[#This Row],[Остаток]]=0,ТабПозиции[[#This Row],[Заказан]]="Да"),"Да","Нет")</f>
        <v>Да</v>
      </c>
      <c r="X1459" s="3"/>
      <c r="Y1459"/>
    </row>
    <row r="1460" spans="1:25" hidden="1" x14ac:dyDescent="0.25">
      <c r="A1460" s="10">
        <v>384</v>
      </c>
      <c r="B1460" s="1">
        <f>IFERROR(VLOOKUP(ТабПозиции[[#This Row],[orderNum]],ТабЗаказы[#Data],MATCH(B$7,ТабЗаказы[#Headers],0),0),"")</f>
        <v>45635</v>
      </c>
      <c r="C1460" t="str">
        <f>MONTH(ТабПозиции[[#This Row],[date]])&amp;"/"&amp;YEAR(ТабПозиции[[#This Row],[date]])</f>
        <v>12/2024</v>
      </c>
      <c r="D1460" s="1" t="str">
        <f>IFERROR(VLOOKUP(ТабПозиции[[#This Row],[orderNum]],ТабЗаказы[#Data],MATCH(D$7,ТабЗаказы[#Headers],0),0),"")</f>
        <v/>
      </c>
      <c r="E1460" s="1" t="str">
        <f>IFERROR(VLOOKUP(ТабПозиции[[#This Row],[orderNum]],ТабЗаказы[#Data],MATCH(E$7,ТабЗаказы[#Headers],0),0),"")</f>
        <v/>
      </c>
      <c r="F1460" s="16" t="s">
        <v>1981</v>
      </c>
      <c r="G1460" s="40" t="s">
        <v>545</v>
      </c>
      <c r="I1460" s="18">
        <v>45637</v>
      </c>
      <c r="J1460" s="10">
        <v>1</v>
      </c>
      <c r="K1460" s="10">
        <v>621</v>
      </c>
      <c r="L1460">
        <f>ТабПозиции[[#This Row],[discountPrice]]*ТабПозиции[[#This Row],[quantity]]</f>
        <v>621</v>
      </c>
      <c r="M1460" s="10">
        <v>654</v>
      </c>
      <c r="N1460">
        <f t="shared" si="27"/>
        <v>654</v>
      </c>
      <c r="P14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Row],[orderNum]],ТабПозиции[orderSumm])&gt;1500),ABS(N1460*VLOOKUP(ТабПозиции[[#This Row],[orderNum]],ТабЗаказы[#Data],MATCH("Percent",ТабЗаказы[#Headers],0),0))/100,200/COUNTIF(ТабПозиции[orderNum],ТабПозиции[[#This Row],[orderNum]])),0),"")</f>
        <v>65</v>
      </c>
      <c r="Q1460">
        <f>IF(OR(ТабПозиции[[#This Row],[item]]="По штрихкоду",ТабПозиции[[#This Row],[item]]="Посылка"),ТабПозиции[[#This Row],[deliverySumm]]+ТабПозиции[[#This Row],[deliveryPost]],SUM(N1460:P1460))</f>
        <v>719</v>
      </c>
      <c r="R1460" s="41">
        <v>719</v>
      </c>
      <c r="S1460" s="46">
        <f>ТабПозиции[[#This Row],[totalSumm]]-ТабПозиции[[#This Row],[payment]]</f>
        <v>0</v>
      </c>
      <c r="T1460" s="18" t="s">
        <v>970</v>
      </c>
      <c r="U1460" s="40" t="s">
        <v>545</v>
      </c>
      <c r="V1460" s="40" t="str">
        <f>IF(AND(ТабПозиции[[#This Row],[Остаток]]=0,ТабПозиции[[#This Row],[Заказан]]="Да"),"Да","Нет")</f>
        <v>Да</v>
      </c>
      <c r="W1460" s="40" t="str">
        <f>IF(AND(ТабПозиции[[#This Row],[Остаток]]=0,ТабПозиции[[#This Row],[Заказан]]="Да"),"Да","Нет")</f>
        <v>Да</v>
      </c>
      <c r="X1460" s="3"/>
      <c r="Y1460"/>
    </row>
    <row r="1461" spans="1:25" hidden="1" x14ac:dyDescent="0.25">
      <c r="A1461" s="10">
        <v>384</v>
      </c>
      <c r="B1461" s="1">
        <f>IFERROR(VLOOKUP(ТабПозиции[[#This Row],[orderNum]],ТабЗаказы[#Data],MATCH(B$7,ТабЗаказы[#Headers],0),0),"")</f>
        <v>45635</v>
      </c>
      <c r="C1461" t="str">
        <f>MONTH(ТабПозиции[[#This Row],[date]])&amp;"/"&amp;YEAR(ТабПозиции[[#This Row],[date]])</f>
        <v>12/2024</v>
      </c>
      <c r="D1461" s="1" t="str">
        <f>IFERROR(VLOOKUP(ТабПозиции[[#This Row],[orderNum]],ТабЗаказы[#Data],MATCH(D$7,ТабЗаказы[#Headers],0),0),"")</f>
        <v/>
      </c>
      <c r="E1461" s="1" t="str">
        <f>IFERROR(VLOOKUP(ТабПозиции[[#This Row],[orderNum]],ТабЗаказы[#Data],MATCH(E$7,ТабЗаказы[#Headers],0),0),"")</f>
        <v/>
      </c>
      <c r="F1461" s="16" t="s">
        <v>1982</v>
      </c>
      <c r="G1461" s="40" t="s">
        <v>545</v>
      </c>
      <c r="I1461" s="18">
        <v>45637</v>
      </c>
      <c r="J1461" s="10">
        <v>1</v>
      </c>
      <c r="K1461" s="10">
        <v>1033</v>
      </c>
      <c r="L1461">
        <f>ТабПозиции[[#This Row],[discountPrice]]*ТабПозиции[[#This Row],[quantity]]</f>
        <v>1033</v>
      </c>
      <c r="M1461" s="10">
        <v>1088</v>
      </c>
      <c r="N1461">
        <f t="shared" si="27"/>
        <v>1088</v>
      </c>
      <c r="P14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Row],[orderNum]],ТабПозиции[orderSumm])&gt;1500),ABS(N1461*VLOOKUP(ТабПозиции[[#This Row],[orderNum]],ТабЗаказы[#Data],MATCH("Percent",ТабЗаказы[#Headers],0),0))/100,200/COUNTIF(ТабПозиции[orderNum],ТабПозиции[[#This Row],[orderNum]])),0),"")</f>
        <v>109</v>
      </c>
      <c r="Q1461">
        <f>IF(OR(ТабПозиции[[#This Row],[item]]="По штрихкоду",ТабПозиции[[#This Row],[item]]="Посылка"),ТабПозиции[[#This Row],[deliverySumm]]+ТабПозиции[[#This Row],[deliveryPost]],SUM(N1461:P1461))</f>
        <v>1197</v>
      </c>
      <c r="R1461" s="41">
        <v>1197</v>
      </c>
      <c r="S1461" s="46">
        <f>ТабПозиции[[#This Row],[totalSumm]]-ТабПозиции[[#This Row],[payment]]</f>
        <v>0</v>
      </c>
      <c r="T1461" s="18" t="s">
        <v>970</v>
      </c>
      <c r="U1461" s="40" t="s">
        <v>545</v>
      </c>
      <c r="V1461" s="40" t="str">
        <f>IF(AND(ТабПозиции[[#This Row],[Остаток]]=0,ТабПозиции[[#This Row],[Заказан]]="Да"),"Да","Нет")</f>
        <v>Да</v>
      </c>
      <c r="W1461" s="40" t="str">
        <f>IF(AND(ТабПозиции[[#This Row],[Остаток]]=0,ТабПозиции[[#This Row],[Заказан]]="Да"),"Да","Нет")</f>
        <v>Да</v>
      </c>
      <c r="X1461" s="3"/>
      <c r="Y1461"/>
    </row>
    <row r="1462" spans="1:25" hidden="1" x14ac:dyDescent="0.25">
      <c r="A1462" s="10">
        <v>384</v>
      </c>
      <c r="B1462" s="1">
        <f>IFERROR(VLOOKUP(ТабПозиции[[#This Row],[orderNum]],ТабЗаказы[#Data],MATCH(B$7,ТабЗаказы[#Headers],0),0),"")</f>
        <v>45635</v>
      </c>
      <c r="C1462" t="str">
        <f>MONTH(ТабПозиции[[#This Row],[date]])&amp;"/"&amp;YEAR(ТабПозиции[[#This Row],[date]])</f>
        <v>12/2024</v>
      </c>
      <c r="D1462" s="1" t="str">
        <f>IFERROR(VLOOKUP(ТабПозиции[[#This Row],[orderNum]],ТабЗаказы[#Data],MATCH(D$7,ТабЗаказы[#Headers],0),0),"")</f>
        <v/>
      </c>
      <c r="E1462" s="1" t="str">
        <f>IFERROR(VLOOKUP(ТабПозиции[[#This Row],[orderNum]],ТабЗаказы[#Data],MATCH(E$7,ТабЗаказы[#Headers],0),0),"")</f>
        <v/>
      </c>
      <c r="F1462" s="16" t="s">
        <v>1983</v>
      </c>
      <c r="G1462" s="40" t="s">
        <v>545</v>
      </c>
      <c r="I1462" s="18">
        <v>45637</v>
      </c>
      <c r="J1462" s="10">
        <v>1</v>
      </c>
      <c r="K1462" s="10">
        <v>3192</v>
      </c>
      <c r="L1462">
        <f>ТабПозиции[[#This Row],[discountPrice]]*ТабПозиции[[#This Row],[quantity]]</f>
        <v>3192</v>
      </c>
      <c r="M1462" s="10">
        <v>3360</v>
      </c>
      <c r="N1462">
        <f t="shared" si="27"/>
        <v>3360</v>
      </c>
      <c r="P14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Row],[orderNum]],ТабПозиции[orderSumm])&gt;1500),ABS(N1462*VLOOKUP(ТабПозиции[[#This Row],[orderNum]],ТабЗаказы[#Data],MATCH("Percent",ТабЗаказы[#Headers],0),0))/100,200/COUNTIF(ТабПозиции[orderNum],ТабПозиции[[#This Row],[orderNum]])),0),"")</f>
        <v>336</v>
      </c>
      <c r="Q1462">
        <f>IF(OR(ТабПозиции[[#This Row],[item]]="По штрихкоду",ТабПозиции[[#This Row],[item]]="Посылка"),ТабПозиции[[#This Row],[deliverySumm]]+ТабПозиции[[#This Row],[deliveryPost]],SUM(N1462:P1462))</f>
        <v>3696</v>
      </c>
      <c r="R1462" s="41">
        <v>3696</v>
      </c>
      <c r="S1462" s="46">
        <f>ТабПозиции[[#This Row],[totalSumm]]-ТабПозиции[[#This Row],[payment]]</f>
        <v>0</v>
      </c>
      <c r="T1462" s="18" t="s">
        <v>970</v>
      </c>
      <c r="U1462" s="40" t="s">
        <v>545</v>
      </c>
      <c r="V1462" s="40" t="str">
        <f>IF(AND(ТабПозиции[[#This Row],[Остаток]]=0,ТабПозиции[[#This Row],[Заказан]]="Да"),"Да","Нет")</f>
        <v>Да</v>
      </c>
      <c r="W1462" s="40" t="str">
        <f>IF(AND(ТабПозиции[[#This Row],[Остаток]]=0,ТабПозиции[[#This Row],[Заказан]]="Да"),"Да","Нет")</f>
        <v>Да</v>
      </c>
      <c r="X1462" s="3"/>
      <c r="Y1462"/>
    </row>
    <row r="1463" spans="1:25" hidden="1" x14ac:dyDescent="0.25">
      <c r="A1463" s="10">
        <v>384</v>
      </c>
      <c r="B1463" s="1">
        <f>IFERROR(VLOOKUP(ТабПозиции[[#This Row],[orderNum]],ТабЗаказы[#Data],MATCH(B$7,ТабЗаказы[#Headers],0),0),"")</f>
        <v>45635</v>
      </c>
      <c r="C1463" t="str">
        <f>MONTH(ТабПозиции[[#This Row],[date]])&amp;"/"&amp;YEAR(ТабПозиции[[#This Row],[date]])</f>
        <v>12/2024</v>
      </c>
      <c r="D1463" s="1" t="str">
        <f>IFERROR(VLOOKUP(ТабПозиции[[#This Row],[orderNum]],ТабЗаказы[#Data],MATCH(D$7,ТабЗаказы[#Headers],0),0),"")</f>
        <v/>
      </c>
      <c r="E1463" s="1" t="str">
        <f>IFERROR(VLOOKUP(ТабПозиции[[#This Row],[orderNum]],ТабЗаказы[#Data],MATCH(E$7,ТабЗаказы[#Headers],0),0),"")</f>
        <v/>
      </c>
      <c r="F1463" s="16" t="s">
        <v>1984</v>
      </c>
      <c r="G1463" s="40" t="s">
        <v>545</v>
      </c>
      <c r="I1463" s="18">
        <v>45637</v>
      </c>
      <c r="J1463" s="10">
        <v>1</v>
      </c>
      <c r="K1463" s="10">
        <v>403</v>
      </c>
      <c r="L1463">
        <f>ТабПозиции[[#This Row],[discountPrice]]*ТабПозиции[[#This Row],[quantity]]</f>
        <v>403</v>
      </c>
      <c r="M1463" s="10">
        <v>425</v>
      </c>
      <c r="N1463">
        <f t="shared" si="27"/>
        <v>425</v>
      </c>
      <c r="P14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Row],[orderNum]],ТабПозиции[orderSumm])&gt;1500),ABS(N1463*VLOOKUP(ТабПозиции[[#This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463">
        <f>IF(OR(ТабПозиции[[#This Row],[item]]="По штрихкоду",ТабПозиции[[#This Row],[item]]="Посылка"),ТабПозиции[[#This Row],[deliverySumm]]+ТабПозиции[[#This Row],[deliveryPost]],SUM(N1463:P1463))</f>
        <v>468</v>
      </c>
      <c r="R1463" s="41">
        <v>468</v>
      </c>
      <c r="S1463" s="46">
        <f>ТабПозиции[[#This Row],[totalSumm]]-ТабПозиции[[#This Row],[payment]]</f>
        <v>0</v>
      </c>
      <c r="T1463" s="18" t="s">
        <v>970</v>
      </c>
      <c r="U1463" s="40" t="s">
        <v>545</v>
      </c>
      <c r="V1463" s="40" t="str">
        <f>IF(AND(ТабПозиции[[#This Row],[Остаток]]=0,ТабПозиции[[#This Row],[Заказан]]="Да"),"Да","Нет")</f>
        <v>Да</v>
      </c>
      <c r="W1463" s="40" t="str">
        <f>IF(AND(ТабПозиции[[#This Row],[Остаток]]=0,ТабПозиции[[#This Row],[Заказан]]="Да"),"Да","Нет")</f>
        <v>Да</v>
      </c>
      <c r="X1463" s="3"/>
      <c r="Y1463"/>
    </row>
    <row r="1464" spans="1:25" hidden="1" x14ac:dyDescent="0.25">
      <c r="A1464" s="10">
        <v>384</v>
      </c>
      <c r="B1464" s="1">
        <f>IFERROR(VLOOKUP(ТабПозиции[[#This Row],[orderNum]],ТабЗаказы[#Data],MATCH(B$7,ТабЗаказы[#Headers],0),0),"")</f>
        <v>45635</v>
      </c>
      <c r="C1464" t="str">
        <f>MONTH(ТабПозиции[[#This Row],[date]])&amp;"/"&amp;YEAR(ТабПозиции[[#This Row],[date]])</f>
        <v>12/2024</v>
      </c>
      <c r="D1464" s="1" t="str">
        <f>IFERROR(VLOOKUP(ТабПозиции[[#This Row],[orderNum]],ТабЗаказы[#Data],MATCH(D$7,ТабЗаказы[#Headers],0),0),"")</f>
        <v/>
      </c>
      <c r="E1464" s="1" t="str">
        <f>IFERROR(VLOOKUP(ТабПозиции[[#This Row],[orderNum]],ТабЗаказы[#Data],MATCH(E$7,ТабЗаказы[#Headers],0),0),"")</f>
        <v/>
      </c>
      <c r="F1464" s="16" t="s">
        <v>1985</v>
      </c>
      <c r="G1464" s="40" t="s">
        <v>545</v>
      </c>
      <c r="I1464" s="18">
        <v>45637</v>
      </c>
      <c r="J1464" s="10">
        <v>1</v>
      </c>
      <c r="K1464" s="10">
        <v>1436</v>
      </c>
      <c r="L1464">
        <f>ТабПозиции[[#This Row],[discountPrice]]*ТабПозиции[[#This Row],[quantity]]</f>
        <v>1436</v>
      </c>
      <c r="M1464" s="10">
        <v>1512</v>
      </c>
      <c r="N1464">
        <f t="shared" si="27"/>
        <v>1512</v>
      </c>
      <c r="P14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Row],[orderNum]],ТабПозиции[orderSumm])&gt;1500),ABS(N1464*VLOOKUP(ТабПозиции[[#This Row],[orderNum]],ТабЗаказы[#Data],MATCH("Percent",ТабЗаказы[#Headers],0),0))/100,200/COUNTIF(ТабПозиции[orderNum],ТабПозиции[[#This Row],[orderNum]])),0),"")</f>
        <v>151</v>
      </c>
      <c r="Q1464">
        <f>IF(OR(ТабПозиции[[#This Row],[item]]="По штрихкоду",ТабПозиции[[#This Row],[item]]="Посылка"),ТабПозиции[[#This Row],[deliverySumm]]+ТабПозиции[[#This Row],[deliveryPost]],SUM(N1464:P1464))</f>
        <v>1663</v>
      </c>
      <c r="R1464" s="41">
        <v>1663</v>
      </c>
      <c r="S1464" s="46">
        <f>ТабПозиции[[#This Row],[totalSumm]]-ТабПозиции[[#This Row],[payment]]</f>
        <v>0</v>
      </c>
      <c r="T1464" s="18" t="s">
        <v>970</v>
      </c>
      <c r="U1464" s="40" t="s">
        <v>545</v>
      </c>
      <c r="V1464" s="40" t="str">
        <f>IF(AND(ТабПозиции[[#This Row],[Остаток]]=0,ТабПозиции[[#This Row],[Заказан]]="Да"),"Да","Нет")</f>
        <v>Да</v>
      </c>
      <c r="W1464" s="40" t="str">
        <f>IF(AND(ТабПозиции[[#This Row],[Остаток]]=0,ТабПозиции[[#This Row],[Заказан]]="Да"),"Да","Нет")</f>
        <v>Да</v>
      </c>
      <c r="X1464" s="3"/>
      <c r="Y1464"/>
    </row>
    <row r="1465" spans="1:25" hidden="1" x14ac:dyDescent="0.25">
      <c r="A1465" s="10">
        <v>384</v>
      </c>
      <c r="B1465" s="1">
        <f>IFERROR(VLOOKUP(ТабПозиции[[#This Row],[orderNum]],ТабЗаказы[#Data],MATCH(B$7,ТабЗаказы[#Headers],0),0),"")</f>
        <v>45635</v>
      </c>
      <c r="C1465" t="str">
        <f>MONTH(ТабПозиции[[#This Row],[date]])&amp;"/"&amp;YEAR(ТабПозиции[[#This Row],[date]])</f>
        <v>12/2024</v>
      </c>
      <c r="D1465" s="1" t="str">
        <f>IFERROR(VLOOKUP(ТабПозиции[[#This Row],[orderNum]],ТабЗаказы[#Data],MATCH(D$7,ТабЗаказы[#Headers],0),0),"")</f>
        <v/>
      </c>
      <c r="E1465" s="1" t="str">
        <f>IFERROR(VLOOKUP(ТабПозиции[[#This Row],[orderNum]],ТабЗаказы[#Data],MATCH(E$7,ТабЗаказы[#Headers],0),0),"")</f>
        <v/>
      </c>
      <c r="F1465" s="16" t="s">
        <v>1986</v>
      </c>
      <c r="G1465" s="40" t="s">
        <v>545</v>
      </c>
      <c r="I1465" s="18">
        <v>45639</v>
      </c>
      <c r="J1465" s="10">
        <v>1</v>
      </c>
      <c r="K1465" s="10">
        <v>189</v>
      </c>
      <c r="L1465">
        <f>ТабПозиции[[#This Row],[discountPrice]]*ТабПозиции[[#This Row],[quantity]]</f>
        <v>189</v>
      </c>
      <c r="M1465" s="10">
        <v>199</v>
      </c>
      <c r="N1465">
        <f t="shared" si="27"/>
        <v>199</v>
      </c>
      <c r="P14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Row],[orderNum]],ТабПозиции[orderSumm])&gt;1500),ABS(N1465*VLOOKUP(ТабПозиции[[#This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465">
        <f>IF(OR(ТабПозиции[[#This Row],[item]]="По штрихкоду",ТабПозиции[[#This Row],[item]]="Посылка"),ТабПозиции[[#This Row],[deliverySumm]]+ТабПозиции[[#This Row],[deliveryPost]],SUM(N1465:P1465))</f>
        <v>219</v>
      </c>
      <c r="R1465" s="41">
        <v>219</v>
      </c>
      <c r="S1465" s="46">
        <f>ТабПозиции[[#This Row],[totalSumm]]-ТабПозиции[[#This Row],[payment]]</f>
        <v>0</v>
      </c>
      <c r="T1465" s="18" t="s">
        <v>970</v>
      </c>
      <c r="U1465" s="40" t="s">
        <v>545</v>
      </c>
      <c r="V1465" s="40" t="str">
        <f>IF(AND(ТабПозиции[[#This Row],[Остаток]]=0,ТабПозиции[[#This Row],[Заказан]]="Да"),"Да","Нет")</f>
        <v>Да</v>
      </c>
      <c r="W1465" s="40" t="str">
        <f>IF(AND(ТабПозиции[[#This Row],[Остаток]]=0,ТабПозиции[[#This Row],[Заказан]]="Да"),"Да","Нет")</f>
        <v>Да</v>
      </c>
      <c r="X1465" s="3"/>
      <c r="Y1465"/>
    </row>
    <row r="1466" spans="1:25" hidden="1" x14ac:dyDescent="0.25">
      <c r="A1466" s="10">
        <v>384</v>
      </c>
      <c r="B1466" s="1">
        <f>IFERROR(VLOOKUP(ТабПозиции[[#This Row],[orderNum]],ТабЗаказы[#Data],MATCH(B$7,ТабЗаказы[#Headers],0),0),"")</f>
        <v>45635</v>
      </c>
      <c r="C1466" t="str">
        <f>MONTH(ТабПозиции[[#This Row],[date]])&amp;"/"&amp;YEAR(ТабПозиции[[#This Row],[date]])</f>
        <v>12/2024</v>
      </c>
      <c r="D1466" s="1" t="str">
        <f>IFERROR(VLOOKUP(ТабПозиции[[#This Row],[orderNum]],ТабЗаказы[#Data],MATCH(D$7,ТабЗаказы[#Headers],0),0),"")</f>
        <v/>
      </c>
      <c r="E1466" s="1" t="str">
        <f>IFERROR(VLOOKUP(ТабПозиции[[#This Row],[orderNum]],ТабЗаказы[#Data],MATCH(E$7,ТабЗаказы[#Headers],0),0),"")</f>
        <v/>
      </c>
      <c r="F1466" s="16" t="s">
        <v>1987</v>
      </c>
      <c r="G1466" s="40" t="s">
        <v>545</v>
      </c>
      <c r="I1466" s="18">
        <v>45639</v>
      </c>
      <c r="J1466" s="10">
        <v>1</v>
      </c>
      <c r="K1466" s="10">
        <v>1041</v>
      </c>
      <c r="L1466">
        <f>ТабПозиции[[#This Row],[discountPrice]]*ТабПозиции[[#This Row],[quantity]]</f>
        <v>1041</v>
      </c>
      <c r="M1466" s="10">
        <v>1096</v>
      </c>
      <c r="N1466">
        <f t="shared" si="27"/>
        <v>1096</v>
      </c>
      <c r="P14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Row],[orderNum]],ТабПозиции[orderSumm])&gt;1500),ABS(N1466*VLOOKUP(ТабПозиции[[#This Row],[orderNum]],ТабЗаказы[#Data],MATCH("Percent",ТабЗаказы[#Headers],0),0))/100,200/COUNTIF(ТабПозиции[orderNum],ТабПозиции[[#This Row],[orderNum]])),0),"")</f>
        <v>110</v>
      </c>
      <c r="Q1466">
        <f>IF(OR(ТабПозиции[[#This Row],[item]]="По штрихкоду",ТабПозиции[[#This Row],[item]]="Посылка"),ТабПозиции[[#This Row],[deliverySumm]]+ТабПозиции[[#This Row],[deliveryPost]],SUM(N1466:P1466))</f>
        <v>1206</v>
      </c>
      <c r="R1466" s="41">
        <v>1206</v>
      </c>
      <c r="S1466" s="46">
        <f>ТабПозиции[[#This Row],[totalSumm]]-ТабПозиции[[#This Row],[payment]]</f>
        <v>0</v>
      </c>
      <c r="T1466" s="18" t="s">
        <v>970</v>
      </c>
      <c r="U1466" s="40" t="s">
        <v>545</v>
      </c>
      <c r="V1466" s="40" t="str">
        <f>IF(AND(ТабПозиции[[#This Row],[Остаток]]=0,ТабПозиции[[#This Row],[Заказан]]="Да"),"Да","Нет")</f>
        <v>Да</v>
      </c>
      <c r="W1466" s="40" t="s">
        <v>545</v>
      </c>
      <c r="X1466" s="3"/>
      <c r="Y1466"/>
    </row>
    <row r="1467" spans="1:25" hidden="1" x14ac:dyDescent="0.25">
      <c r="A1467" s="10">
        <v>384</v>
      </c>
      <c r="B1467" s="1">
        <f>IFERROR(VLOOKUP(ТабПозиции[[#This Row],[orderNum]],ТабЗаказы[#Data],MATCH(B$7,ТабЗаказы[#Headers],0),0),"")</f>
        <v>45635</v>
      </c>
      <c r="C1467" t="str">
        <f>MONTH(ТабПозиции[[#This Row],[date]])&amp;"/"&amp;YEAR(ТабПозиции[[#This Row],[date]])</f>
        <v>12/2024</v>
      </c>
      <c r="D1467" s="1" t="str">
        <f>IFERROR(VLOOKUP(ТабПозиции[[#This Row],[orderNum]],ТабЗаказы[#Data],MATCH(D$7,ТабЗаказы[#Headers],0),0),"")</f>
        <v/>
      </c>
      <c r="E1467" s="1" t="str">
        <f>IFERROR(VLOOKUP(ТабПозиции[[#This Row],[orderNum]],ТабЗаказы[#Data],MATCH(E$7,ТабЗаказы[#Headers],0),0),"")</f>
        <v/>
      </c>
      <c r="F1467" s="16" t="s">
        <v>1988</v>
      </c>
      <c r="G1467" s="40" t="s">
        <v>545</v>
      </c>
      <c r="I1467" s="18">
        <v>45637</v>
      </c>
      <c r="J1467" s="10">
        <v>1</v>
      </c>
      <c r="K1467" s="10">
        <v>418</v>
      </c>
      <c r="L1467">
        <f>ТабПозиции[[#This Row],[discountPrice]]*ТабПозиции[[#This Row],[quantity]]</f>
        <v>418</v>
      </c>
      <c r="M1467" s="10">
        <v>441</v>
      </c>
      <c r="N1467">
        <f t="shared" si="27"/>
        <v>441</v>
      </c>
      <c r="P14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Row],[orderNum]],ТабПозиции[orderSumm])&gt;1500),ABS(N1467*VLOOKUP(ТабПозиции[[#This Row],[orderNum]],ТабЗаказы[#Data],MATCH("Percent",ТабЗаказы[#Headers],0),0))/100,200/COUNTIF(ТабПозиции[orderNum],ТабПозиции[[#This Row],[orderNum]])),0),"")</f>
        <v>44</v>
      </c>
      <c r="Q1467">
        <f>IF(OR(ТабПозиции[[#This Row],[item]]="По штрихкоду",ТабПозиции[[#This Row],[item]]="Посылка"),ТабПозиции[[#This Row],[deliverySumm]]+ТабПозиции[[#This Row],[deliveryPost]],SUM(N1467:P1467))</f>
        <v>485</v>
      </c>
      <c r="R1467" s="41">
        <v>485</v>
      </c>
      <c r="S1467" s="46">
        <f>ТабПозиции[[#This Row],[totalSumm]]-ТабПозиции[[#This Row],[payment]]</f>
        <v>0</v>
      </c>
      <c r="T1467" s="18" t="s">
        <v>970</v>
      </c>
      <c r="U1467" s="40" t="s">
        <v>545</v>
      </c>
      <c r="V1467" s="40" t="str">
        <f>IF(AND(ТабПозиции[[#This Row],[Остаток]]=0,ТабПозиции[[#This Row],[Заказан]]="Да"),"Да","Нет")</f>
        <v>Да</v>
      </c>
      <c r="W1467" s="40" t="str">
        <f>IF(AND(ТабПозиции[[#This Row],[Остаток]]=0,ТабПозиции[[#This Row],[Заказан]]="Да"),"Да","Нет")</f>
        <v>Да</v>
      </c>
      <c r="X1467" s="3"/>
      <c r="Y1467"/>
    </row>
    <row r="1468" spans="1:25" hidden="1" x14ac:dyDescent="0.25">
      <c r="A1468" s="10">
        <v>384</v>
      </c>
      <c r="B1468" s="1">
        <f>IFERROR(VLOOKUP(ТабПозиции[[#This Row],[orderNum]],ТабЗаказы[#Data],MATCH(B$7,ТабЗаказы[#Headers],0),0),"")</f>
        <v>45635</v>
      </c>
      <c r="C1468" t="str">
        <f>MONTH(ТабПозиции[[#This Row],[date]])&amp;"/"&amp;YEAR(ТабПозиции[[#This Row],[date]])</f>
        <v>12/2024</v>
      </c>
      <c r="D1468" s="1" t="str">
        <f>IFERROR(VLOOKUP(ТабПозиции[[#This Row],[orderNum]],ТабЗаказы[#Data],MATCH(D$7,ТабЗаказы[#Headers],0),0),"")</f>
        <v/>
      </c>
      <c r="E1468" s="1" t="str">
        <f>IFERROR(VLOOKUP(ТабПозиции[[#This Row],[orderNum]],ТабЗаказы[#Data],MATCH(E$7,ТабЗаказы[#Headers],0),0),"")</f>
        <v/>
      </c>
      <c r="F1468" s="16" t="s">
        <v>1989</v>
      </c>
      <c r="G1468" s="40" t="s">
        <v>545</v>
      </c>
      <c r="I1468" s="18">
        <v>45637</v>
      </c>
      <c r="J1468" s="10">
        <v>1</v>
      </c>
      <c r="K1468" s="10">
        <v>1447</v>
      </c>
      <c r="L1468">
        <f>ТабПозиции[[#This Row],[discountPrice]]*ТабПозиции[[#This Row],[quantity]]</f>
        <v>1447</v>
      </c>
      <c r="M1468" s="10">
        <v>1524</v>
      </c>
      <c r="N1468">
        <f t="shared" si="27"/>
        <v>1524</v>
      </c>
      <c r="P14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Row],[orderNum]],ТабПозиции[orderSumm])&gt;1500),ABS(N1468*VLOOKUP(ТабПозиции[[#This Row],[orderNum]],ТабЗаказы[#Data],MATCH("Percent",ТабЗаказы[#Headers],0),0))/100,200/COUNTIF(ТабПозиции[orderNum],ТабПозиции[[#This Row],[orderNum]])),0),"")</f>
        <v>152</v>
      </c>
      <c r="Q1468">
        <f>IF(OR(ТабПозиции[[#This Row],[item]]="По штрихкоду",ТабПозиции[[#This Row],[item]]="Посылка"),ТабПозиции[[#This Row],[deliverySumm]]+ТабПозиции[[#This Row],[deliveryPost]],SUM(N1468:P1468))</f>
        <v>1676</v>
      </c>
      <c r="R1468" s="41">
        <v>1676</v>
      </c>
      <c r="S1468" s="46">
        <f>ТабПозиции[[#This Row],[totalSumm]]-ТабПозиции[[#This Row],[payment]]</f>
        <v>0</v>
      </c>
      <c r="T1468" s="18" t="s">
        <v>970</v>
      </c>
      <c r="U1468" s="40" t="s">
        <v>545</v>
      </c>
      <c r="V1468" s="40" t="str">
        <f>IF(AND(ТабПозиции[[#This Row],[Остаток]]=0,ТабПозиции[[#This Row],[Заказан]]="Да"),"Да","Нет")</f>
        <v>Да</v>
      </c>
      <c r="W1468" s="40" t="str">
        <f>IF(AND(ТабПозиции[[#This Row],[Остаток]]=0,ТабПозиции[[#This Row],[Заказан]]="Да"),"Да","Нет")</f>
        <v>Да</v>
      </c>
      <c r="X1468" s="3"/>
      <c r="Y1468"/>
    </row>
    <row r="1469" spans="1:25" hidden="1" x14ac:dyDescent="0.25">
      <c r="A1469" s="10">
        <v>384</v>
      </c>
      <c r="B1469" s="1">
        <f>IFERROR(VLOOKUP(ТабПозиции[[#This Row],[orderNum]],ТабЗаказы[#Data],MATCH(B$7,ТабЗаказы[#Headers],0),0),"")</f>
        <v>45635</v>
      </c>
      <c r="C1469" t="str">
        <f>MONTH(ТабПозиции[[#This Row],[date]])&amp;"/"&amp;YEAR(ТабПозиции[[#This Row],[date]])</f>
        <v>12/2024</v>
      </c>
      <c r="D1469" s="1" t="str">
        <f>IFERROR(VLOOKUP(ТабПозиции[[#This Row],[orderNum]],ТабЗаказы[#Data],MATCH(D$7,ТабЗаказы[#Headers],0),0),"")</f>
        <v/>
      </c>
      <c r="E1469" s="1" t="str">
        <f>IFERROR(VLOOKUP(ТабПозиции[[#This Row],[orderNum]],ТабЗаказы[#Data],MATCH(E$7,ТабЗаказы[#Headers],0),0),"")</f>
        <v/>
      </c>
      <c r="F1469" s="16" t="s">
        <v>1438</v>
      </c>
      <c r="G1469" s="40" t="s">
        <v>545</v>
      </c>
      <c r="I1469" s="18">
        <v>45637</v>
      </c>
      <c r="J1469" s="10">
        <v>1</v>
      </c>
      <c r="K1469" s="10">
        <v>959</v>
      </c>
      <c r="L1469">
        <f>ТабПозиции[[#This Row],[discountPrice]]*ТабПозиции[[#This Row],[quantity]]</f>
        <v>959</v>
      </c>
      <c r="M1469" s="10">
        <v>1010</v>
      </c>
      <c r="N1469">
        <f t="shared" si="27"/>
        <v>1010</v>
      </c>
      <c r="P14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Row],[orderNum]],ТабПозиции[orderSumm])&gt;1500),ABS(N1469*VLOOKUP(ТабПозиции[[#This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1469">
        <f>IF(OR(ТабПозиции[[#This Row],[item]]="По штрихкоду",ТабПозиции[[#This Row],[item]]="Посылка"),ТабПозиции[[#This Row],[deliverySumm]]+ТабПозиции[[#This Row],[deliveryPost]],SUM(N1469:P1469))</f>
        <v>1111</v>
      </c>
      <c r="R1469" s="41">
        <v>1111</v>
      </c>
      <c r="S1469" s="46">
        <f>ТабПозиции[[#This Row],[totalSumm]]-ТабПозиции[[#This Row],[payment]]</f>
        <v>0</v>
      </c>
      <c r="T1469" s="18" t="s">
        <v>970</v>
      </c>
      <c r="U1469" s="40" t="s">
        <v>545</v>
      </c>
      <c r="V1469" s="40" t="str">
        <f>IF(AND(ТабПозиции[[#This Row],[Остаток]]=0,ТабПозиции[[#This Row],[Заказан]]="Да"),"Да","Нет")</f>
        <v>Да</v>
      </c>
      <c r="W1469" s="40" t="str">
        <f>IF(AND(ТабПозиции[[#This Row],[Остаток]]=0,ТабПозиции[[#This Row],[Заказан]]="Да"),"Да","Нет")</f>
        <v>Да</v>
      </c>
      <c r="X1469" s="3"/>
      <c r="Y1469"/>
    </row>
    <row r="1470" spans="1:25" hidden="1" x14ac:dyDescent="0.25">
      <c r="A1470" s="10">
        <v>385</v>
      </c>
      <c r="B1470" s="1">
        <f>IFERROR(VLOOKUP(ТабПозиции[[#This Row],[orderNum]],ТабЗаказы[#Data],MATCH(B$7,ТабЗаказы[#Headers],0),0),"")</f>
        <v>45636</v>
      </c>
      <c r="C1470" t="str">
        <f>MONTH(ТабПозиции[[#This Row],[date]])&amp;"/"&amp;YEAR(ТабПозиции[[#This Row],[date]])</f>
        <v>12/2024</v>
      </c>
      <c r="D1470" s="1" t="str">
        <f>IFERROR(VLOOKUP(ТабПозиции[[#This Row],[orderNum]],ТабЗаказы[#Data],MATCH(D$7,ТабЗаказы[#Headers],0),0),"")</f>
        <v/>
      </c>
      <c r="E1470" s="1" t="str">
        <f>IFERROR(VLOOKUP(ТабПозиции[[#This Row],[orderNum]],ТабЗаказы[#Data],MATCH(E$7,ТабЗаказы[#Headers],0),0),"")</f>
        <v/>
      </c>
      <c r="F1470" s="16" t="s">
        <v>1990</v>
      </c>
      <c r="G1470" s="40" t="s">
        <v>545</v>
      </c>
      <c r="I1470" s="18">
        <v>45641</v>
      </c>
      <c r="J1470" s="10">
        <v>1</v>
      </c>
      <c r="K1470" s="10">
        <v>1506</v>
      </c>
      <c r="L1470">
        <f>ТабПозиции[[#This Row],[discountPrice]]*ТабПозиции[[#This Row],[quantity]]</f>
        <v>1506</v>
      </c>
      <c r="M1470" s="10">
        <v>1590</v>
      </c>
      <c r="N1470">
        <f t="shared" si="27"/>
        <v>1590</v>
      </c>
      <c r="P14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Row],[orderNum]],ТабПозиции[orderSumm])&gt;1500),ABS(N1470*VLOOKUP(ТабПозиции[[#This Row],[orderNum]],ТабЗаказы[#Data],MATCH("Percent",ТабЗаказы[#Headers],0),0))/100,200/COUNTIF(ТабПозиции[orderNum],ТабПозиции[[#This Row],[orderNum]])),0),"")</f>
        <v>239</v>
      </c>
      <c r="Q1470">
        <f>IF(OR(ТабПозиции[[#This Row],[item]]="По штрихкоду",ТабПозиции[[#This Row],[item]]="Посылка"),ТабПозиции[[#This Row],[deliverySumm]]+ТабПозиции[[#This Row],[deliveryPost]],SUM(N1470:P1470))</f>
        <v>1829</v>
      </c>
      <c r="R1470" s="41">
        <v>1829</v>
      </c>
      <c r="S1470" s="46">
        <f>ТабПозиции[[#This Row],[totalSumm]]-ТабПозиции[[#This Row],[payment]]</f>
        <v>0</v>
      </c>
      <c r="T1470" s="18" t="s">
        <v>960</v>
      </c>
      <c r="U1470" s="40" t="s">
        <v>545</v>
      </c>
      <c r="V1470" s="40" t="str">
        <f>IF(AND(ТабПозиции[[#This Row],[Остаток]]=0,ТабПозиции[[#This Row],[Заказан]]="Да"),"Да","Нет")</f>
        <v>Да</v>
      </c>
      <c r="W1470" s="40" t="s">
        <v>545</v>
      </c>
      <c r="X1470" s="3"/>
      <c r="Y1470"/>
    </row>
    <row r="1471" spans="1:25" hidden="1" x14ac:dyDescent="0.25">
      <c r="A1471" s="10">
        <v>385</v>
      </c>
      <c r="B1471" s="1">
        <f>IFERROR(VLOOKUP(ТабПозиции[[#This Row],[orderNum]],ТабЗаказы[#Data],MATCH(B$7,ТабЗаказы[#Headers],0),0),"")</f>
        <v>45636</v>
      </c>
      <c r="C1471" t="str">
        <f>MONTH(ТабПозиции[[#This Row],[date]])&amp;"/"&amp;YEAR(ТабПозиции[[#This Row],[date]])</f>
        <v>12/2024</v>
      </c>
      <c r="D1471" s="1" t="str">
        <f>IFERROR(VLOOKUP(ТабПозиции[[#This Row],[orderNum]],ТабЗаказы[#Data],MATCH(D$7,ТабЗаказы[#Headers],0),0),"")</f>
        <v/>
      </c>
      <c r="E1471" s="1" t="str">
        <f>IFERROR(VLOOKUP(ТабПозиции[[#This Row],[orderNum]],ТабЗаказы[#Data],MATCH(E$7,ТабЗаказы[#Headers],0),0),"")</f>
        <v/>
      </c>
      <c r="F1471" s="16" t="s">
        <v>1991</v>
      </c>
      <c r="G1471" s="40" t="s">
        <v>545</v>
      </c>
      <c r="I1471" s="18">
        <v>45645</v>
      </c>
      <c r="J1471" s="10">
        <v>1</v>
      </c>
      <c r="K1471" s="10">
        <v>273</v>
      </c>
      <c r="L1471">
        <f>ТабПозиции[[#This Row],[discountPrice]]*ТабПозиции[[#This Row],[quantity]]</f>
        <v>273</v>
      </c>
      <c r="M1471" s="10">
        <v>279</v>
      </c>
      <c r="N1471">
        <f t="shared" si="27"/>
        <v>279</v>
      </c>
      <c r="P14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Row],[orderNum]],ТабПозиции[orderSumm])&gt;1500),ABS(N1471*VLOOKUP(ТабПозиции[[#This Row],[orderNum]],ТабЗаказы[#Data],MATCH("Percent",ТабЗаказы[#Headers],0),0))/100,200/COUNTIF(ТабПозиции[orderNum],ТабПозиции[[#This Row],[orderNum]])),0),"")</f>
        <v>42</v>
      </c>
      <c r="Q1471">
        <f>IF(OR(ТабПозиции[[#This Row],[item]]="По штрихкоду",ТабПозиции[[#This Row],[item]]="Посылка"),ТабПозиции[[#This Row],[deliverySumm]]+ТабПозиции[[#This Row],[deliveryPost]],SUM(N1471:P1471))</f>
        <v>321</v>
      </c>
      <c r="R1471" s="41">
        <v>321</v>
      </c>
      <c r="S1471" s="46">
        <f>ТабПозиции[[#This Row],[totalSumm]]-ТабПозиции[[#This Row],[payment]]</f>
        <v>0</v>
      </c>
      <c r="T1471" s="18" t="s">
        <v>960</v>
      </c>
      <c r="U1471" s="40" t="s">
        <v>545</v>
      </c>
      <c r="V1471" s="40" t="str">
        <f>IF(AND(ТабПозиции[[#This Row],[Остаток]]=0,ТабПозиции[[#This Row],[Заказан]]="Да"),"Да","Нет")</f>
        <v>Да</v>
      </c>
      <c r="W1471" s="40" t="s">
        <v>545</v>
      </c>
      <c r="X1471" s="3"/>
      <c r="Y1471"/>
    </row>
    <row r="1472" spans="1:25" hidden="1" x14ac:dyDescent="0.25">
      <c r="A1472" s="10">
        <v>385</v>
      </c>
      <c r="B1472" s="1">
        <f>IFERROR(VLOOKUP(ТабПозиции[[#This Row],[orderNum]],ТабЗаказы[#Data],MATCH(B$7,ТабЗаказы[#Headers],0),0),"")</f>
        <v>45636</v>
      </c>
      <c r="C1472" t="str">
        <f>MONTH(ТабПозиции[[#This Row],[date]])&amp;"/"&amp;YEAR(ТабПозиции[[#This Row],[date]])</f>
        <v>12/2024</v>
      </c>
      <c r="D1472" s="1" t="str">
        <f>IFERROR(VLOOKUP(ТабПозиции[[#This Row],[orderNum]],ТабЗаказы[#Data],MATCH(D$7,ТабЗаказы[#Headers],0),0),"")</f>
        <v/>
      </c>
      <c r="E1472" s="1" t="str">
        <f>IFERROR(VLOOKUP(ТабПозиции[[#This Row],[orderNum]],ТабЗаказы[#Data],MATCH(E$7,ТабЗаказы[#Headers],0),0),"")</f>
        <v/>
      </c>
      <c r="F1472" s="16" t="s">
        <v>1992</v>
      </c>
      <c r="G1472" s="40" t="s">
        <v>545</v>
      </c>
      <c r="I1472" s="18">
        <v>45637</v>
      </c>
      <c r="J1472" s="10">
        <v>1</v>
      </c>
      <c r="K1472" s="10">
        <v>493</v>
      </c>
      <c r="L1472">
        <f>ТабПозиции[[#This Row],[discountPrice]]*ТабПозиции[[#This Row],[quantity]]</f>
        <v>493</v>
      </c>
      <c r="M1472" s="10">
        <v>530</v>
      </c>
      <c r="N1472">
        <f t="shared" si="27"/>
        <v>530</v>
      </c>
      <c r="P14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Row],[orderNum]],ТабПозиции[orderSumm])&gt;1500),ABS(N1472*VLOOKUP(ТабПозиции[[#This Row],[orderNum]],ТабЗаказы[#Data],MATCH("Percent",ТабЗаказы[#Headers],0),0))/100,200/COUNTIF(ТабПозиции[orderNum],ТабПозиции[[#This Row],[orderNum]])),0),"")</f>
        <v>80</v>
      </c>
      <c r="Q1472">
        <f>IF(OR(ТабПозиции[[#This Row],[item]]="По штрихкоду",ТабПозиции[[#This Row],[item]]="Посылка"),ТабПозиции[[#This Row],[deliverySumm]]+ТабПозиции[[#This Row],[deliveryPost]],SUM(N1472:P1472))</f>
        <v>610</v>
      </c>
      <c r="R1472" s="41">
        <v>610</v>
      </c>
      <c r="S1472" s="46">
        <f>ТабПозиции[[#This Row],[totalSumm]]-ТабПозиции[[#This Row],[payment]]</f>
        <v>0</v>
      </c>
      <c r="T1472" s="18" t="s">
        <v>960</v>
      </c>
      <c r="U1472" s="40" t="s">
        <v>545</v>
      </c>
      <c r="V1472" s="40" t="str">
        <f>IF(AND(ТабПозиции[[#This Row],[Остаток]]=0,ТабПозиции[[#This Row],[Заказан]]="Да"),"Да","Нет")</f>
        <v>Да</v>
      </c>
      <c r="W1472" s="40" t="str">
        <f>IF(AND(ТабПозиции[[#This Row],[Остаток]]=0,ТабПозиции[[#This Row],[Заказан]]="Да"),"Да","Нет")</f>
        <v>Да</v>
      </c>
      <c r="X1472" s="3"/>
      <c r="Y1472"/>
    </row>
    <row r="1473" spans="1:25" hidden="1" x14ac:dyDescent="0.25">
      <c r="A1473" s="10">
        <v>385</v>
      </c>
      <c r="B1473" s="1">
        <f>IFERROR(VLOOKUP(ТабПозиции[[#This Row],[orderNum]],ТабЗаказы[#Data],MATCH(B$7,ТабЗаказы[#Headers],0),0),"")</f>
        <v>45636</v>
      </c>
      <c r="C1473" t="str">
        <f>MONTH(ТабПозиции[[#This Row],[date]])&amp;"/"&amp;YEAR(ТабПозиции[[#This Row],[date]])</f>
        <v>12/2024</v>
      </c>
      <c r="D1473" s="1" t="str">
        <f>IFERROR(VLOOKUP(ТабПозиции[[#This Row],[orderNum]],ТабЗаказы[#Data],MATCH(D$7,ТабЗаказы[#Headers],0),0),"")</f>
        <v/>
      </c>
      <c r="E1473" s="1" t="str">
        <f>IFERROR(VLOOKUP(ТабПозиции[[#This Row],[orderNum]],ТабЗаказы[#Data],MATCH(E$7,ТабЗаказы[#Headers],0),0),"")</f>
        <v/>
      </c>
      <c r="F1473" s="16" t="s">
        <v>1993</v>
      </c>
      <c r="G1473" s="40" t="s">
        <v>545</v>
      </c>
      <c r="I1473" s="18">
        <v>45638</v>
      </c>
      <c r="J1473" s="10">
        <v>1</v>
      </c>
      <c r="K1473" s="10">
        <v>251</v>
      </c>
      <c r="L1473">
        <f>ТабПозиции[[#This Row],[discountPrice]]*ТабПозиции[[#This Row],[quantity]]</f>
        <v>251</v>
      </c>
      <c r="M1473" s="10">
        <v>256</v>
      </c>
      <c r="N1473">
        <f t="shared" si="27"/>
        <v>256</v>
      </c>
      <c r="P14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Row],[orderNum]],ТабПозиции[orderSumm])&gt;1500),ABS(N1473*VLOOKUP(ТабПозиции[[#This Row],[orderNum]],ТабЗаказы[#Data],MATCH("Percent",ТабЗаказы[#Headers],0),0))/100,200/COUNTIF(ТабПозиции[orderNum],ТабПозиции[[#This Row],[orderNum]])),0),"")</f>
        <v>38</v>
      </c>
      <c r="Q1473">
        <f>IF(OR(ТабПозиции[[#This Row],[item]]="По штрихкоду",ТабПозиции[[#This Row],[item]]="Посылка"),ТабПозиции[[#This Row],[deliverySumm]]+ТабПозиции[[#This Row],[deliveryPost]],SUM(N1473:P1473))</f>
        <v>294</v>
      </c>
      <c r="R1473" s="41">
        <v>294</v>
      </c>
      <c r="S1473" s="46">
        <f>ТабПозиции[[#This Row],[totalSumm]]-ТабПозиции[[#This Row],[payment]]</f>
        <v>0</v>
      </c>
      <c r="T1473" s="18" t="s">
        <v>960</v>
      </c>
      <c r="U1473" s="40" t="s">
        <v>545</v>
      </c>
      <c r="V1473" s="40" t="str">
        <f>IF(AND(ТабПозиции[[#This Row],[Остаток]]=0,ТабПозиции[[#This Row],[Заказан]]="Да"),"Да","Нет")</f>
        <v>Да</v>
      </c>
      <c r="W1473" s="40" t="str">
        <f>IF(AND(ТабПозиции[[#This Row],[Остаток]]=0,ТабПозиции[[#This Row],[Заказан]]="Да"),"Да","Нет")</f>
        <v>Да</v>
      </c>
      <c r="X1473" s="3"/>
      <c r="Y1473"/>
    </row>
    <row r="1474" spans="1:25" hidden="1" x14ac:dyDescent="0.25">
      <c r="A1474" s="10">
        <v>385</v>
      </c>
      <c r="B1474" s="1">
        <f>IFERROR(VLOOKUP(ТабПозиции[[#This Row],[orderNum]],ТабЗаказы[#Data],MATCH(B$7,ТабЗаказы[#Headers],0),0),"")</f>
        <v>45636</v>
      </c>
      <c r="C1474" t="str">
        <f>MONTH(ТабПозиции[[#This Row],[date]])&amp;"/"&amp;YEAR(ТабПозиции[[#This Row],[date]])</f>
        <v>12/2024</v>
      </c>
      <c r="D1474" s="1" t="str">
        <f>IFERROR(VLOOKUP(ТабПозиции[[#This Row],[orderNum]],ТабЗаказы[#Data],MATCH(D$7,ТабЗаказы[#Headers],0),0),"")</f>
        <v/>
      </c>
      <c r="E1474" s="1" t="str">
        <f>IFERROR(VLOOKUP(ТабПозиции[[#This Row],[orderNum]],ТабЗаказы[#Data],MATCH(E$7,ТабЗаказы[#Headers],0),0),"")</f>
        <v/>
      </c>
      <c r="F1474" s="16" t="s">
        <v>1994</v>
      </c>
      <c r="G1474" s="40" t="s">
        <v>545</v>
      </c>
      <c r="I1474" s="18">
        <v>45638</v>
      </c>
      <c r="J1474" s="10">
        <v>1</v>
      </c>
      <c r="K1474" s="10">
        <v>278</v>
      </c>
      <c r="L1474">
        <f>ТабПозиции[[#This Row],[discountPrice]]*ТабПозиции[[#This Row],[quantity]]</f>
        <v>278</v>
      </c>
      <c r="M1474" s="10">
        <v>284</v>
      </c>
      <c r="N1474">
        <f t="shared" si="27"/>
        <v>284</v>
      </c>
      <c r="P14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Row],[orderNum]],ТабПозиции[orderSumm])&gt;1500),ABS(N1474*VLOOKUP(ТабПозиции[[#This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474">
        <f>IF(OR(ТабПозиции[[#This Row],[item]]="По штрихкоду",ТабПозиции[[#This Row],[item]]="Посылка"),ТабПозиции[[#This Row],[deliverySumm]]+ТабПозиции[[#This Row],[deliveryPost]],SUM(N1474:P1474))</f>
        <v>327</v>
      </c>
      <c r="R1474" s="41">
        <v>327</v>
      </c>
      <c r="S1474" s="46">
        <f>ТабПозиции[[#This Row],[totalSumm]]-ТабПозиции[[#This Row],[payment]]</f>
        <v>0</v>
      </c>
      <c r="T1474" s="18" t="s">
        <v>960</v>
      </c>
      <c r="U1474" s="40" t="s">
        <v>545</v>
      </c>
      <c r="V1474" s="40" t="str">
        <f>IF(AND(ТабПозиции[[#This Row],[Остаток]]=0,ТабПозиции[[#This Row],[Заказан]]="Да"),"Да","Нет")</f>
        <v>Да</v>
      </c>
      <c r="W1474" s="40" t="str">
        <f>IF(AND(ТабПозиции[[#This Row],[Остаток]]=0,ТабПозиции[[#This Row],[Заказан]]="Да"),"Да","Нет")</f>
        <v>Да</v>
      </c>
      <c r="X1474" s="3"/>
      <c r="Y1474"/>
    </row>
    <row r="1475" spans="1:25" hidden="1" x14ac:dyDescent="0.25">
      <c r="A1475" s="10">
        <v>385</v>
      </c>
      <c r="B1475" s="1">
        <f>IFERROR(VLOOKUP(ТабПозиции[[#This Row],[orderNum]],ТабЗаказы[#Data],MATCH(B$7,ТабЗаказы[#Headers],0),0),"")</f>
        <v>45636</v>
      </c>
      <c r="C1475" t="str">
        <f>MONTH(ТабПозиции[[#This Row],[date]])&amp;"/"&amp;YEAR(ТабПозиции[[#This Row],[date]])</f>
        <v>12/2024</v>
      </c>
      <c r="D1475" s="1" t="str">
        <f>IFERROR(VLOOKUP(ТабПозиции[[#This Row],[orderNum]],ТабЗаказы[#Data],MATCH(D$7,ТабЗаказы[#Headers],0),0),"")</f>
        <v/>
      </c>
      <c r="E1475" s="1" t="str">
        <f>IFERROR(VLOOKUP(ТабПозиции[[#This Row],[orderNum]],ТабЗаказы[#Data],MATCH(E$7,ТабЗаказы[#Headers],0),0),"")</f>
        <v/>
      </c>
      <c r="F1475" s="16" t="s">
        <v>1996</v>
      </c>
      <c r="G1475" s="40" t="s">
        <v>545</v>
      </c>
      <c r="I1475" s="18">
        <v>45638</v>
      </c>
      <c r="J1475" s="10">
        <v>1</v>
      </c>
      <c r="K1475" s="10">
        <v>117</v>
      </c>
      <c r="L1475">
        <f>ТабПозиции[[#This Row],[discountPrice]]*ТабПозиции[[#This Row],[quantity]]</f>
        <v>117</v>
      </c>
      <c r="M1475" s="10">
        <v>119</v>
      </c>
      <c r="N1475">
        <f t="shared" si="27"/>
        <v>119</v>
      </c>
      <c r="P14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Row],[orderNum]],ТабПозиции[orderSumm])&gt;1500),ABS(N1475*VLOOKUP(ТабПозиции[[#This Row],[orderNum]],ТабЗаказы[#Data],MATCH("Percent",ТабЗаказы[#Headers],0),0))/100,200/COUNTIF(ТабПозиции[orderNum],ТабПозиции[[#This Row],[orderNum]])),0),"")</f>
        <v>18</v>
      </c>
      <c r="Q1475">
        <f>IF(OR(ТабПозиции[[#This Row],[item]]="По штрихкоду",ТабПозиции[[#This Row],[item]]="Посылка"),ТабПозиции[[#This Row],[deliverySumm]]+ТабПозиции[[#This Row],[deliveryPost]],SUM(N1475:P1475))</f>
        <v>137</v>
      </c>
      <c r="R1475" s="41">
        <v>137</v>
      </c>
      <c r="S1475" s="46">
        <f>ТабПозиции[[#This Row],[totalSumm]]-ТабПозиции[[#This Row],[payment]]</f>
        <v>0</v>
      </c>
      <c r="T1475" s="18" t="s">
        <v>960</v>
      </c>
      <c r="U1475" s="40" t="s">
        <v>545</v>
      </c>
      <c r="V1475" s="40" t="str">
        <f>IF(AND(ТабПозиции[[#This Row],[Остаток]]=0,ТабПозиции[[#This Row],[Заказан]]="Да"),"Да","Нет")</f>
        <v>Да</v>
      </c>
      <c r="W1475" s="40" t="str">
        <f>IF(AND(ТабПозиции[[#This Row],[Остаток]]=0,ТабПозиции[[#This Row],[Заказан]]="Да"),"Да","Нет")</f>
        <v>Да</v>
      </c>
      <c r="X1475" s="3"/>
      <c r="Y1475"/>
    </row>
    <row r="1476" spans="1:25" hidden="1" x14ac:dyDescent="0.25">
      <c r="A1476" s="10">
        <v>385</v>
      </c>
      <c r="B1476" s="1">
        <f>IFERROR(VLOOKUP(ТабПозиции[[#This Row],[orderNum]],ТабЗаказы[#Data],MATCH(B$7,ТабЗаказы[#Headers],0),0),"")</f>
        <v>45636</v>
      </c>
      <c r="C1476" t="str">
        <f>MONTH(ТабПозиции[[#This Row],[date]])&amp;"/"&amp;YEAR(ТабПозиции[[#This Row],[date]])</f>
        <v>12/2024</v>
      </c>
      <c r="D1476" s="1" t="str">
        <f>IFERROR(VLOOKUP(ТабПозиции[[#This Row],[orderNum]],ТабЗаказы[#Data],MATCH(D$7,ТабЗаказы[#Headers],0),0),"")</f>
        <v/>
      </c>
      <c r="E1476" s="1" t="str">
        <f>IFERROR(VLOOKUP(ТабПозиции[[#This Row],[orderNum]],ТабЗаказы[#Data],MATCH(E$7,ТабЗаказы[#Headers],0),0),"")</f>
        <v/>
      </c>
      <c r="F1476" s="16" t="s">
        <v>1995</v>
      </c>
      <c r="G1476" s="40" t="s">
        <v>545</v>
      </c>
      <c r="I1476" s="18">
        <v>45637</v>
      </c>
      <c r="J1476" s="10">
        <v>1</v>
      </c>
      <c r="K1476" s="10">
        <v>115</v>
      </c>
      <c r="L1476">
        <f>ТабПозиции[[#This Row],[discountPrice]]*ТабПозиции[[#This Row],[quantity]]</f>
        <v>115</v>
      </c>
      <c r="M1476" s="10">
        <v>117</v>
      </c>
      <c r="N1476">
        <f t="shared" si="27"/>
        <v>117</v>
      </c>
      <c r="P14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Row],[orderNum]],ТабПозиции[orderSumm])&gt;1500),ABS(N1476*VLOOKUP(ТабПозиции[[#This Row],[orderNum]],ТабЗаказы[#Data],MATCH("Percent",ТабЗаказы[#Headers],0),0))/100,200/COUNTIF(ТабПозиции[orderNum],ТабПозиции[[#This Row],[orderNum]])),0),"")</f>
        <v>18</v>
      </c>
      <c r="Q1476">
        <f>IF(OR(ТабПозиции[[#This Row],[item]]="По штрихкоду",ТабПозиции[[#This Row],[item]]="Посылка"),ТабПозиции[[#This Row],[deliverySumm]]+ТабПозиции[[#This Row],[deliveryPost]],SUM(N1476:P1476))</f>
        <v>135</v>
      </c>
      <c r="R1476" s="41">
        <v>135</v>
      </c>
      <c r="S1476" s="46">
        <f>ТабПозиции[[#This Row],[totalSumm]]-ТабПозиции[[#This Row],[payment]]</f>
        <v>0</v>
      </c>
      <c r="T1476" s="18" t="s">
        <v>960</v>
      </c>
      <c r="U1476" s="40" t="s">
        <v>545</v>
      </c>
      <c r="V1476" s="40" t="str">
        <f>IF(AND(ТабПозиции[[#This Row],[Остаток]]=0,ТабПозиции[[#This Row],[Заказан]]="Да"),"Да","Нет")</f>
        <v>Да</v>
      </c>
      <c r="W1476" s="40" t="str">
        <f>IF(AND(ТабПозиции[[#This Row],[Остаток]]=0,ТабПозиции[[#This Row],[Заказан]]="Да"),"Да","Нет")</f>
        <v>Да</v>
      </c>
      <c r="X1476" s="3"/>
      <c r="Y1476"/>
    </row>
    <row r="1477" spans="1:25" hidden="1" x14ac:dyDescent="0.25">
      <c r="A1477" s="10">
        <v>385</v>
      </c>
      <c r="B1477" s="1">
        <f>IFERROR(VLOOKUP(ТабПозиции[[#This Row],[orderNum]],ТабЗаказы[#Data],MATCH(B$7,ТабЗаказы[#Headers],0),0),"")</f>
        <v>45636</v>
      </c>
      <c r="C1477" t="str">
        <f>MONTH(ТабПозиции[[#This Row],[date]])&amp;"/"&amp;YEAR(ТабПозиции[[#This Row],[date]])</f>
        <v>12/2024</v>
      </c>
      <c r="D1477" s="1" t="str">
        <f>IFERROR(VLOOKUP(ТабПозиции[[#This Row],[orderNum]],ТабЗаказы[#Data],MATCH(D$7,ТабЗаказы[#Headers],0),0),"")</f>
        <v/>
      </c>
      <c r="E1477" s="1" t="str">
        <f>IFERROR(VLOOKUP(ТабПозиции[[#This Row],[orderNum]],ТабЗаказы[#Data],MATCH(E$7,ТабЗаказы[#Headers],0),0),"")</f>
        <v/>
      </c>
      <c r="F1477" s="16" t="s">
        <v>1956</v>
      </c>
      <c r="G1477" s="40" t="s">
        <v>545</v>
      </c>
      <c r="I1477" s="18">
        <v>45637</v>
      </c>
      <c r="J1477" s="10">
        <v>1</v>
      </c>
      <c r="K1477" s="10">
        <v>144</v>
      </c>
      <c r="L1477">
        <f>ТабПозиции[[#This Row],[discountPrice]]*ТабПозиции[[#This Row],[quantity]]</f>
        <v>144</v>
      </c>
      <c r="M1477" s="10">
        <v>147</v>
      </c>
      <c r="N1477">
        <f t="shared" si="27"/>
        <v>147</v>
      </c>
      <c r="P14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Row],[orderNum]],ТабПозиции[orderSumm])&gt;1500),ABS(N1477*VLOOKUP(ТабПозиции[[#This Row],[orderNum]],ТабЗаказы[#Data],MATCH("Percent",ТабЗаказы[#Headers],0),0))/100,200/COUNTIF(ТабПозиции[orderNum],ТабПозиции[[#This Row],[orderNum]])),0),"")</f>
        <v>22</v>
      </c>
      <c r="Q1477">
        <f>IF(OR(ТабПозиции[[#This Row],[item]]="По штрихкоду",ТабПозиции[[#This Row],[item]]="Посылка"),ТабПозиции[[#This Row],[deliverySumm]]+ТабПозиции[[#This Row],[deliveryPost]],SUM(N1477:P1477))</f>
        <v>169</v>
      </c>
      <c r="R1477" s="41">
        <v>169</v>
      </c>
      <c r="S1477" s="46">
        <f>ТабПозиции[[#This Row],[totalSumm]]-ТабПозиции[[#This Row],[payment]]</f>
        <v>0</v>
      </c>
      <c r="T1477" s="18" t="s">
        <v>960</v>
      </c>
      <c r="U1477" s="40" t="s">
        <v>545</v>
      </c>
      <c r="V1477" s="40" t="str">
        <f>IF(AND(ТабПозиции[[#This Row],[Остаток]]=0,ТабПозиции[[#This Row],[Заказан]]="Да"),"Да","Нет")</f>
        <v>Да</v>
      </c>
      <c r="W1477" s="40" t="str">
        <f>IF(AND(ТабПозиции[[#This Row],[Остаток]]=0,ТабПозиции[[#This Row],[Заказан]]="Да"),"Да","Нет")</f>
        <v>Да</v>
      </c>
      <c r="X1477" s="3"/>
      <c r="Y1477"/>
    </row>
    <row r="1478" spans="1:25" hidden="1" x14ac:dyDescent="0.25">
      <c r="A1478" s="10">
        <v>385</v>
      </c>
      <c r="B1478" s="1">
        <f>IFERROR(VLOOKUP(ТабПозиции[[#This Row],[orderNum]],ТабЗаказы[#Data],MATCH(B$7,ТабЗаказы[#Headers],0),0),"")</f>
        <v>45636</v>
      </c>
      <c r="C1478" t="str">
        <f>MONTH(ТабПозиции[[#This Row],[date]])&amp;"/"&amp;YEAR(ТабПозиции[[#This Row],[date]])</f>
        <v>12/2024</v>
      </c>
      <c r="D1478" s="1" t="str">
        <f>IFERROR(VLOOKUP(ТабПозиции[[#This Row],[orderNum]],ТабЗаказы[#Data],MATCH(D$7,ТабЗаказы[#Headers],0),0),"")</f>
        <v/>
      </c>
      <c r="E1478" s="1" t="str">
        <f>IFERROR(VLOOKUP(ТабПозиции[[#This Row],[orderNum]],ТабЗаказы[#Data],MATCH(E$7,ТабЗаказы[#Headers],0),0),"")</f>
        <v/>
      </c>
      <c r="F1478" s="16" t="s">
        <v>1997</v>
      </c>
      <c r="G1478" s="40" t="s">
        <v>545</v>
      </c>
      <c r="H1478" s="12" t="s">
        <v>2041</v>
      </c>
      <c r="I1478" s="18">
        <v>45299</v>
      </c>
      <c r="J1478" s="10">
        <v>1</v>
      </c>
      <c r="K1478" s="10">
        <v>117</v>
      </c>
      <c r="L1478">
        <f>ТабПозиции[[#This Row],[discountPrice]]*ТабПозиции[[#This Row],[quantity]]</f>
        <v>117</v>
      </c>
      <c r="M1478" s="10">
        <v>122</v>
      </c>
      <c r="N1478">
        <f t="shared" si="27"/>
        <v>122</v>
      </c>
      <c r="P14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Row],[orderNum]],ТабПозиции[orderSumm])&gt;1500),ABS(N1478*VLOOKUP(ТабПозиции[[#This Row],[orderNum]],ТабЗаказы[#Data],MATCH("Percent",ТабЗаказы[#Headers],0),0))/100,200/COUNTIF(ТабПозиции[orderNum],ТабПозиции[[#This Row],[orderNum]])),0),"")</f>
        <v>18</v>
      </c>
      <c r="Q1478">
        <f>IF(OR(ТабПозиции[[#This Row],[item]]="По штрихкоду",ТабПозиции[[#This Row],[item]]="Посылка"),ТабПозиции[[#This Row],[deliverySumm]]+ТабПозиции[[#This Row],[deliveryPost]],SUM(N1478:P1478))</f>
        <v>140</v>
      </c>
      <c r="R1478" s="41">
        <v>140</v>
      </c>
      <c r="S1478" s="46">
        <f>ТабПозиции[[#This Row],[totalSumm]]-ТабПозиции[[#This Row],[payment]]</f>
        <v>0</v>
      </c>
      <c r="T1478" s="18" t="s">
        <v>960</v>
      </c>
      <c r="U1478" s="40" t="s">
        <v>545</v>
      </c>
      <c r="V1478" s="40" t="str">
        <f>IF(AND(ТабПозиции[[#This Row],[Остаток]]=0,ТабПозиции[[#This Row],[Заказан]]="Да"),"Да","Нет")</f>
        <v>Да</v>
      </c>
      <c r="W1478" s="40" t="s">
        <v>545</v>
      </c>
      <c r="X1478" s="3"/>
      <c r="Y1478"/>
    </row>
    <row r="1479" spans="1:25" hidden="1" x14ac:dyDescent="0.25">
      <c r="A1479" s="10">
        <v>385</v>
      </c>
      <c r="B1479" s="1">
        <f>IFERROR(VLOOKUP(ТабПозиции[[#This Row],[orderNum]],ТабЗаказы[#Data],MATCH(B$7,ТабЗаказы[#Headers],0),0),"")</f>
        <v>45636</v>
      </c>
      <c r="C1479" t="str">
        <f>MONTH(ТабПозиции[[#This Row],[date]])&amp;"/"&amp;YEAR(ТабПозиции[[#This Row],[date]])</f>
        <v>12/2024</v>
      </c>
      <c r="D1479" s="1" t="str">
        <f>IFERROR(VLOOKUP(ТабПозиции[[#This Row],[orderNum]],ТабЗаказы[#Data],MATCH(D$7,ТабЗаказы[#Headers],0),0),"")</f>
        <v/>
      </c>
      <c r="E1479" s="1" t="str">
        <f>IFERROR(VLOOKUP(ТабПозиции[[#This Row],[orderNum]],ТабЗаказы[#Data],MATCH(E$7,ТабЗаказы[#Headers],0),0),"")</f>
        <v/>
      </c>
      <c r="F1479" s="16" t="s">
        <v>1997</v>
      </c>
      <c r="G1479" s="40" t="s">
        <v>545</v>
      </c>
      <c r="I1479" s="18">
        <v>45640</v>
      </c>
      <c r="J1479" s="10">
        <v>1</v>
      </c>
      <c r="K1479" s="10">
        <v>184</v>
      </c>
      <c r="L1479">
        <f>ТабПозиции[[#This Row],[discountPrice]]*ТабПозиции[[#This Row],[quantity]]</f>
        <v>184</v>
      </c>
      <c r="M1479" s="10">
        <v>194</v>
      </c>
      <c r="N1479">
        <f t="shared" si="27"/>
        <v>194</v>
      </c>
      <c r="P14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Row],[orderNum]],ТабПозиции[orderSumm])&gt;1500),ABS(N1479*VLOOKUP(ТабПозиции[[#This Row],[orderNum]],ТабЗаказы[#Data],MATCH("Percent",ТабЗаказы[#Headers],0),0))/100,200/COUNTIF(ТабПозиции[orderNum],ТабПозиции[[#This Row],[orderNum]])),0),"")</f>
        <v>29</v>
      </c>
      <c r="Q1479">
        <f>IF(OR(ТабПозиции[[#This Row],[item]]="По штрихкоду",ТабПозиции[[#This Row],[item]]="Посылка"),ТабПозиции[[#This Row],[deliverySumm]]+ТабПозиции[[#This Row],[deliveryPost]],SUM(N1479:P1479))</f>
        <v>223</v>
      </c>
      <c r="R1479" s="41">
        <v>223</v>
      </c>
      <c r="S1479" s="46">
        <f>ТабПозиции[[#This Row],[totalSumm]]-ТабПозиции[[#This Row],[payment]]</f>
        <v>0</v>
      </c>
      <c r="T1479" s="18" t="s">
        <v>970</v>
      </c>
      <c r="U1479" s="40" t="s">
        <v>545</v>
      </c>
      <c r="V1479" s="40" t="str">
        <f>IF(AND(ТабПозиции[[#This Row],[Остаток]]=0,ТабПозиции[[#This Row],[Заказан]]="Да"),"Да","Нет")</f>
        <v>Да</v>
      </c>
      <c r="W1479" s="40" t="s">
        <v>545</v>
      </c>
      <c r="X1479" s="3"/>
      <c r="Y1479"/>
    </row>
    <row r="1480" spans="1:25" hidden="1" x14ac:dyDescent="0.25">
      <c r="A1480" s="10">
        <v>385</v>
      </c>
      <c r="B1480" s="1">
        <f>IFERROR(VLOOKUP(ТабПозиции[[#This Row],[orderNum]],ТабЗаказы[#Data],MATCH(B$7,ТабЗаказы[#Headers],0),0),"")</f>
        <v>45636</v>
      </c>
      <c r="C1480" t="str">
        <f>MONTH(ТабПозиции[[#This Row],[date]])&amp;"/"&amp;YEAR(ТабПозиции[[#This Row],[date]])</f>
        <v>12/2024</v>
      </c>
      <c r="D1480" s="1" t="str">
        <f>IFERROR(VLOOKUP(ТабПозиции[[#This Row],[orderNum]],ТабЗаказы[#Data],MATCH(D$7,ТабЗаказы[#Headers],0),0),"")</f>
        <v/>
      </c>
      <c r="E1480" s="1" t="str">
        <f>IFERROR(VLOOKUP(ТабПозиции[[#This Row],[orderNum]],ТабЗаказы[#Data],MATCH(E$7,ТабЗаказы[#Headers],0),0),"")</f>
        <v/>
      </c>
      <c r="F1480" s="16" t="s">
        <v>1997</v>
      </c>
      <c r="G1480" s="40" t="s">
        <v>545</v>
      </c>
      <c r="I1480" s="18">
        <v>45639</v>
      </c>
      <c r="J1480" s="10">
        <v>1</v>
      </c>
      <c r="K1480" s="10">
        <v>157</v>
      </c>
      <c r="L1480">
        <f>ТабПозиции[[#This Row],[discountPrice]]*ТабПозиции[[#This Row],[quantity]]</f>
        <v>157</v>
      </c>
      <c r="M1480" s="10">
        <v>166</v>
      </c>
      <c r="N1480">
        <f t="shared" si="27"/>
        <v>166</v>
      </c>
      <c r="P14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Row],[orderNum]],ТабПозиции[orderSumm])&gt;1500),ABS(N1480*VLOOKUP(ТабПозиции[[#This Row],[orderNum]],ТабЗаказы[#Data],MATCH("Percent",ТабЗаказы[#Headers],0),0))/100,200/COUNTIF(ТабПозиции[orderNum],ТабПозиции[[#This Row],[orderNum]])),0),"")</f>
        <v>25</v>
      </c>
      <c r="Q1480">
        <f>IF(OR(ТабПозиции[[#This Row],[item]]="По штрихкоду",ТабПозиции[[#This Row],[item]]="Посылка"),ТабПозиции[[#This Row],[deliverySumm]]+ТабПозиции[[#This Row],[deliveryPost]],SUM(N1480:P1480))</f>
        <v>191</v>
      </c>
      <c r="R1480" s="41">
        <v>191</v>
      </c>
      <c r="S1480" s="46">
        <f>ТабПозиции[[#This Row],[totalSumm]]-ТабПозиции[[#This Row],[payment]]</f>
        <v>0</v>
      </c>
      <c r="T1480" s="18" t="s">
        <v>970</v>
      </c>
      <c r="U1480" s="40" t="s">
        <v>545</v>
      </c>
      <c r="V1480" s="40" t="str">
        <f>IF(AND(ТабПозиции[[#This Row],[Остаток]]=0,ТабПозиции[[#This Row],[Заказан]]="Да"),"Да","Нет")</f>
        <v>Да</v>
      </c>
      <c r="W1480" s="40" t="s">
        <v>545</v>
      </c>
      <c r="X1480" s="3"/>
      <c r="Y1480"/>
    </row>
    <row r="1481" spans="1:25" hidden="1" x14ac:dyDescent="0.25">
      <c r="A1481" s="10">
        <v>385</v>
      </c>
      <c r="B1481" s="1">
        <f>IFERROR(VLOOKUP(ТабПозиции[[#This Row],[orderNum]],ТабЗаказы[#Data],MATCH(B$7,ТабЗаказы[#Headers],0),0),"")</f>
        <v>45636</v>
      </c>
      <c r="C1481" t="str">
        <f>MONTH(ТабПозиции[[#This Row],[date]])&amp;"/"&amp;YEAR(ТабПозиции[[#This Row],[date]])</f>
        <v>12/2024</v>
      </c>
      <c r="D1481" s="1" t="str">
        <f>IFERROR(VLOOKUP(ТабПозиции[[#This Row],[orderNum]],ТабЗаказы[#Data],MATCH(D$7,ТабЗаказы[#Headers],0),0),"")</f>
        <v/>
      </c>
      <c r="E1481" s="1" t="str">
        <f>IFERROR(VLOOKUP(ТабПозиции[[#This Row],[orderNum]],ТабЗаказы[#Data],MATCH(E$7,ТабЗаказы[#Headers],0),0),"")</f>
        <v/>
      </c>
      <c r="F1481" s="16" t="s">
        <v>1998</v>
      </c>
      <c r="G1481" s="40" t="s">
        <v>545</v>
      </c>
      <c r="I1481" s="18">
        <v>45640</v>
      </c>
      <c r="J1481" s="10">
        <v>1</v>
      </c>
      <c r="K1481" s="10">
        <v>184</v>
      </c>
      <c r="L1481">
        <f>ТабПозиции[[#This Row],[discountPrice]]*ТабПозиции[[#This Row],[quantity]]</f>
        <v>184</v>
      </c>
      <c r="M1481" s="10">
        <v>194</v>
      </c>
      <c r="N1481">
        <f t="shared" si="27"/>
        <v>194</v>
      </c>
      <c r="P14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Row],[orderNum]],ТабПозиции[orderSumm])&gt;1500),ABS(N1481*VLOOKUP(ТабПозиции[[#This Row],[orderNum]],ТабЗаказы[#Data],MATCH("Percent",ТабЗаказы[#Headers],0),0))/100,200/COUNTIF(ТабПозиции[orderNum],ТабПозиции[[#This Row],[orderNum]])),0),"")</f>
        <v>29</v>
      </c>
      <c r="Q1481">
        <f>IF(OR(ТабПозиции[[#This Row],[item]]="По штрихкоду",ТабПозиции[[#This Row],[item]]="Посылка"),ТабПозиции[[#This Row],[deliverySumm]]+ТабПозиции[[#This Row],[deliveryPost]],SUM(N1481:P1481))</f>
        <v>223</v>
      </c>
      <c r="R1481" s="41">
        <v>223</v>
      </c>
      <c r="S1481" s="46">
        <f>ТабПозиции[[#This Row],[totalSumm]]-ТабПозиции[[#This Row],[payment]]</f>
        <v>0</v>
      </c>
      <c r="T1481" s="18" t="s">
        <v>970</v>
      </c>
      <c r="U1481" s="40" t="s">
        <v>545</v>
      </c>
      <c r="V1481" s="40" t="str">
        <f>IF(AND(ТабПозиции[[#This Row],[Остаток]]=0,ТабПозиции[[#This Row],[Заказан]]="Да"),"Да","Нет")</f>
        <v>Да</v>
      </c>
      <c r="W1481" s="40" t="str">
        <f>IF(AND(ТабПозиции[[#This Row],[Остаток]]=0,ТабПозиции[[#This Row],[Заказан]]="Да"),"Да","Нет")</f>
        <v>Да</v>
      </c>
      <c r="X1481" s="3"/>
      <c r="Y1481"/>
    </row>
    <row r="1482" spans="1:25" hidden="1" x14ac:dyDescent="0.25">
      <c r="A1482" s="10">
        <v>385</v>
      </c>
      <c r="B1482" s="1">
        <f>IFERROR(VLOOKUP(ТабПозиции[[#This Row],[orderNum]],ТабЗаказы[#Data],MATCH(B$7,ТабЗаказы[#Headers],0),0),"")</f>
        <v>45636</v>
      </c>
      <c r="C1482" t="str">
        <f>MONTH(ТабПозиции[[#This Row],[date]])&amp;"/"&amp;YEAR(ТабПозиции[[#This Row],[date]])</f>
        <v>12/2024</v>
      </c>
      <c r="D1482" s="1" t="str">
        <f>IFERROR(VLOOKUP(ТабПозиции[[#This Row],[orderNum]],ТабЗаказы[#Data],MATCH(D$7,ТабЗаказы[#Headers],0),0),"")</f>
        <v/>
      </c>
      <c r="E1482" s="1" t="str">
        <f>IFERROR(VLOOKUP(ТабПозиции[[#This Row],[orderNum]],ТабЗаказы[#Data],MATCH(E$7,ТабЗаказы[#Headers],0),0),"")</f>
        <v/>
      </c>
      <c r="F1482" s="16" t="s">
        <v>1999</v>
      </c>
      <c r="G1482" s="40" t="s">
        <v>545</v>
      </c>
      <c r="I1482" s="18">
        <v>45638</v>
      </c>
      <c r="J1482" s="10">
        <v>1</v>
      </c>
      <c r="K1482" s="10">
        <v>3939</v>
      </c>
      <c r="L1482">
        <f>ТабПозиции[[#This Row],[discountPrice]]*ТабПозиции[[#This Row],[quantity]]</f>
        <v>3939</v>
      </c>
      <c r="M1482" s="10">
        <v>4147</v>
      </c>
      <c r="N1482">
        <f t="shared" ref="N1482:N1544" si="28">M1482*J1482</f>
        <v>4147</v>
      </c>
      <c r="P14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Row],[orderNum]],ТабПозиции[orderSumm])&gt;1500),ABS(N1482*VLOOKUP(ТабПозиции[[#This Row],[orderNum]],ТабЗаказы[#Data],MATCH("Percent",ТабЗаказы[#Headers],0),0))/100,200/COUNTIF(ТабПозиции[orderNum],ТабПозиции[[#This Row],[orderNum]])),0),"")</f>
        <v>622</v>
      </c>
      <c r="Q1482">
        <f>IF(OR(ТабПозиции[[#This Row],[item]]="По штрихкоду",ТабПозиции[[#This Row],[item]]="Посылка"),ТабПозиции[[#This Row],[deliverySumm]]+ТабПозиции[[#This Row],[deliveryPost]],SUM(N1482:P1482))</f>
        <v>4769</v>
      </c>
      <c r="R1482" s="41">
        <v>4769</v>
      </c>
      <c r="S1482" s="46">
        <f>ТабПозиции[[#This Row],[totalSumm]]-ТабПозиции[[#This Row],[payment]]</f>
        <v>0</v>
      </c>
      <c r="T1482" s="18" t="s">
        <v>970</v>
      </c>
      <c r="U1482" s="40" t="s">
        <v>545</v>
      </c>
      <c r="V1482" s="40" t="str">
        <f>IF(AND(ТабПозиции[[#This Row],[Остаток]]=0,ТабПозиции[[#This Row],[Заказан]]="Да"),"Да","Нет")</f>
        <v>Да</v>
      </c>
      <c r="W1482" s="40" t="str">
        <f>IF(AND(ТабПозиции[[#This Row],[Остаток]]=0,ТабПозиции[[#This Row],[Заказан]]="Да"),"Да","Нет")</f>
        <v>Да</v>
      </c>
      <c r="X1482" s="3"/>
      <c r="Y1482"/>
    </row>
    <row r="1483" spans="1:25" hidden="1" x14ac:dyDescent="0.25">
      <c r="A1483" s="10">
        <v>386</v>
      </c>
      <c r="B1483" s="1">
        <f>IFERROR(VLOOKUP(ТабПозиции[[#This Row],[orderNum]],ТабЗаказы[#Data],MATCH(B$7,ТабЗаказы[#Headers],0),0),"")</f>
        <v>45636</v>
      </c>
      <c r="C1483" t="str">
        <f>MONTH(ТабПозиции[[#This Row],[date]])&amp;"/"&amp;YEAR(ТабПозиции[[#This Row],[date]])</f>
        <v>12/2024</v>
      </c>
      <c r="D1483" s="1" t="str">
        <f>IFERROR(VLOOKUP(ТабПозиции[[#This Row],[orderNum]],ТабЗаказы[#Data],MATCH(D$7,ТабЗаказы[#Headers],0),0),"")</f>
        <v/>
      </c>
      <c r="E1483" s="1" t="str">
        <f>IFERROR(VLOOKUP(ТабПозиции[[#This Row],[orderNum]],ТабЗаказы[#Data],MATCH(E$7,ТабЗаказы[#Headers],0),0),"")</f>
        <v/>
      </c>
      <c r="F1483" s="16" t="s">
        <v>2002</v>
      </c>
      <c r="G1483" s="40" t="s">
        <v>545</v>
      </c>
      <c r="I1483" s="18">
        <v>45641</v>
      </c>
      <c r="J1483" s="10">
        <v>1</v>
      </c>
      <c r="K1483" s="10">
        <v>457</v>
      </c>
      <c r="L1483">
        <f>ТабПозиции[[#This Row],[discountPrice]]*ТабПозиции[[#This Row],[quantity]]</f>
        <v>457</v>
      </c>
      <c r="M1483" s="10">
        <v>466</v>
      </c>
      <c r="N1483">
        <f t="shared" si="28"/>
        <v>466</v>
      </c>
      <c r="P14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Row],[orderNum]],ТабПозиции[orderSumm])&gt;1500),ABS(N1483*VLOOKUP(ТабПозиции[[#This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483">
        <f>IF(OR(ТабПозиции[[#This Row],[item]]="По штрихкоду",ТабПозиции[[#This Row],[item]]="Посылка"),ТабПозиции[[#This Row],[deliverySumm]]+ТабПозиции[[#This Row],[deliveryPost]],SUM(N1483:P1483))</f>
        <v>666</v>
      </c>
      <c r="R1483" s="41">
        <v>666</v>
      </c>
      <c r="S1483" s="46">
        <f>ТабПозиции[[#This Row],[totalSumm]]-ТабПозиции[[#This Row],[payment]]</f>
        <v>0</v>
      </c>
      <c r="T1483" s="18" t="s">
        <v>970</v>
      </c>
      <c r="U1483" s="40" t="s">
        <v>545</v>
      </c>
      <c r="V1483" s="40" t="str">
        <f>IF(AND(ТабПозиции[[#This Row],[Остаток]]=0,ТабПозиции[[#This Row],[Заказан]]="Да"),"Да","Нет")</f>
        <v>Да</v>
      </c>
      <c r="W1483" s="40" t="s">
        <v>545</v>
      </c>
      <c r="X1483" s="3"/>
      <c r="Y1483"/>
    </row>
    <row r="1484" spans="1:25" hidden="1" x14ac:dyDescent="0.25">
      <c r="A1484" s="10">
        <v>387</v>
      </c>
      <c r="B1484" s="1">
        <f>IFERROR(VLOOKUP(ТабПозиции[[#This Row],[orderNum]],ТабЗаказы[#Data],MATCH(B$7,ТабЗаказы[#Headers],0),0),"")</f>
        <v>45638</v>
      </c>
      <c r="C1484" t="str">
        <f>MONTH(ТабПозиции[[#This Row],[date]])&amp;"/"&amp;YEAR(ТабПозиции[[#This Row],[date]])</f>
        <v>12/2024</v>
      </c>
      <c r="D1484" s="1" t="str">
        <f>IFERROR(VLOOKUP(ТабПозиции[[#This Row],[orderNum]],ТабЗаказы[#Data],MATCH(D$7,ТабЗаказы[#Headers],0),0),"")</f>
        <v/>
      </c>
      <c r="E1484" s="1" t="str">
        <f>IFERROR(VLOOKUP(ТабПозиции[[#This Row],[orderNum]],ТабЗаказы[#Data],MATCH(E$7,ТабЗаказы[#Headers],0),0),"")</f>
        <v/>
      </c>
      <c r="F1484" s="10" t="s">
        <v>820</v>
      </c>
      <c r="G1484" s="40" t="s">
        <v>545</v>
      </c>
      <c r="H1484" s="12" t="s">
        <v>2003</v>
      </c>
      <c r="I1484" s="18">
        <v>45651</v>
      </c>
      <c r="J1484" s="10">
        <v>1</v>
      </c>
      <c r="K1484" s="10">
        <v>21650</v>
      </c>
      <c r="L1484">
        <f>ТабПозиции[[#This Row],[discountPrice]]*ТабПозиции[[#This Row],[quantity]]</f>
        <v>21650</v>
      </c>
      <c r="M1484" s="10">
        <v>21650</v>
      </c>
      <c r="N1484">
        <f t="shared" si="28"/>
        <v>21650</v>
      </c>
      <c r="P14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Row],[orderNum]],ТабПозиции[orderSumm])&gt;1500),ABS(N1484*VLOOKUP(ТабПозиции[[#This Row],[orderNum]],ТабЗаказы[#Data],MATCH("Percent",ТабЗаказы[#Headers],0),0))/100,200/COUNTIF(ТабПозиции[orderNum],ТабПозиции[[#This Row],[orderNum]])),0),"")</f>
        <v>2165</v>
      </c>
      <c r="Q1484">
        <f>IF(OR(ТабПозиции[[#This Row],[item]]="По штрихкоду",ТабПозиции[[#This Row],[item]]="Посылка"),ТабПозиции[[#This Row],[deliverySumm]]+ТабПозиции[[#This Row],[deliveryPost]],SUM(N1484:P1484))</f>
        <v>2165</v>
      </c>
      <c r="R1484" s="41">
        <v>2165</v>
      </c>
      <c r="S1484" s="46">
        <f>ТабПозиции[[#This Row],[totalSumm]]-ТабПозиции[[#This Row],[payment]]</f>
        <v>0</v>
      </c>
      <c r="T1484" s="18" t="s">
        <v>1021</v>
      </c>
      <c r="U1484" s="40" t="s">
        <v>545</v>
      </c>
      <c r="V1484" s="40" t="str">
        <f>IF(AND(ТабПозиции[[#This Row],[Остаток]]=0,ТабПозиции[[#This Row],[Заказан]]="Да"),"Да","Нет")</f>
        <v>Да</v>
      </c>
      <c r="W1484" s="40" t="s">
        <v>545</v>
      </c>
      <c r="X1484" s="3"/>
      <c r="Y1484"/>
    </row>
    <row r="1485" spans="1:25" hidden="1" x14ac:dyDescent="0.25">
      <c r="A1485" s="10">
        <v>388</v>
      </c>
      <c r="B1485" s="1">
        <f>IFERROR(VLOOKUP(ТабПозиции[[#This Row],[orderNum]],ТабЗаказы[#Data],MATCH(B$7,ТабЗаказы[#Headers],0),0),"")</f>
        <v>45638</v>
      </c>
      <c r="C1485" t="str">
        <f>MONTH(ТабПозиции[[#This Row],[date]])&amp;"/"&amp;YEAR(ТабПозиции[[#This Row],[date]])</f>
        <v>12/2024</v>
      </c>
      <c r="D1485" s="1" t="str">
        <f>IFERROR(VLOOKUP(ТабПозиции[[#This Row],[orderNum]],ТабЗаказы[#Data],MATCH(D$7,ТабЗаказы[#Headers],0),0),"")</f>
        <v/>
      </c>
      <c r="E1485" s="1" t="str">
        <f>IFERROR(VLOOKUP(ТабПозиции[[#This Row],[orderNum]],ТабЗаказы[#Data],MATCH(E$7,ТабЗаказы[#Headers],0),0),"")</f>
        <v/>
      </c>
      <c r="F1485" s="10" t="s">
        <v>820</v>
      </c>
      <c r="G1485" s="40" t="s">
        <v>552</v>
      </c>
      <c r="H1485" s="12" t="s">
        <v>2005</v>
      </c>
      <c r="I1485" s="18">
        <v>45638</v>
      </c>
      <c r="J1485" s="10">
        <v>1</v>
      </c>
      <c r="K1485" s="10">
        <v>6400</v>
      </c>
      <c r="L1485">
        <f>ТабПозиции[[#This Row],[discountPrice]]*ТабПозиции[[#This Row],[quantity]]</f>
        <v>6400</v>
      </c>
      <c r="M1485" s="10">
        <v>6400</v>
      </c>
      <c r="N1485">
        <f t="shared" si="28"/>
        <v>6400</v>
      </c>
      <c r="P14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Row],[orderNum]],ТабПозиции[orderSumm])&gt;1500),ABS(N1485*VLOOKUP(ТабПозиции[[#This Row],[orderNum]],ТабЗаказы[#Data],MATCH("Percent",ТабЗаказы[#Headers],0),0))/100,200/COUNTIF(ТабПозиции[orderNum],ТабПозиции[[#This Row],[orderNum]])),0),"")</f>
        <v>640</v>
      </c>
      <c r="Q1485">
        <f>IF(OR(ТабПозиции[[#This Row],[item]]="По штрихкоду",ТабПозиции[[#This Row],[item]]="Посылка"),ТабПозиции[[#This Row],[deliverySumm]]+ТабПозиции[[#This Row],[deliveryPost]],SUM(N1485:P1485))</f>
        <v>640</v>
      </c>
      <c r="R1485" s="41">
        <v>640</v>
      </c>
      <c r="S1485" s="46">
        <f>ТабПозиции[[#This Row],[totalSumm]]-ТабПозиции[[#This Row],[payment]]</f>
        <v>0</v>
      </c>
      <c r="T1485" s="18" t="s">
        <v>1021</v>
      </c>
      <c r="U1485" s="40" t="s">
        <v>545</v>
      </c>
      <c r="V1485" s="40" t="str">
        <f>IF(AND(ТабПозиции[[#This Row],[Остаток]]=0,ТабПозиции[[#This Row],[Заказан]]="Да"),"Да","Нет")</f>
        <v>Да</v>
      </c>
      <c r="W1485" s="40" t="s">
        <v>545</v>
      </c>
      <c r="X1485" s="3"/>
      <c r="Y1485"/>
    </row>
    <row r="1486" spans="1:25" hidden="1" x14ac:dyDescent="0.25">
      <c r="A1486" s="10">
        <v>388</v>
      </c>
      <c r="B1486" s="1">
        <f>IFERROR(VLOOKUP(ТабПозиции[[#This Row],[orderNum]],ТабЗаказы[#Data],MATCH(B$7,ТабЗаказы[#Headers],0),0),"")</f>
        <v>45638</v>
      </c>
      <c r="C1486" t="str">
        <f>MONTH(ТабПозиции[[#This Row],[date]])&amp;"/"&amp;YEAR(ТабПозиции[[#This Row],[date]])</f>
        <v>12/2024</v>
      </c>
      <c r="D1486" s="1" t="str">
        <f>IFERROR(VLOOKUP(ТабПозиции[[#This Row],[orderNum]],ТабЗаказы[#Data],MATCH(D$7,ТабЗаказы[#Headers],0),0),"")</f>
        <v/>
      </c>
      <c r="E1486" s="1" t="str">
        <f>IFERROR(VLOOKUP(ТабПозиции[[#This Row],[orderNum]],ТабЗаказы[#Data],MATCH(E$7,ТабЗаказы[#Headers],0),0),"")</f>
        <v/>
      </c>
      <c r="F1486" s="10" t="s">
        <v>820</v>
      </c>
      <c r="G1486" s="40" t="s">
        <v>545</v>
      </c>
      <c r="H1486" s="12" t="s">
        <v>2004</v>
      </c>
      <c r="I1486" s="18">
        <v>45638</v>
      </c>
      <c r="J1486" s="10">
        <v>1</v>
      </c>
      <c r="K1486" s="10">
        <v>7500</v>
      </c>
      <c r="L1486">
        <f>ТабПозиции[[#This Row],[discountPrice]]*ТабПозиции[[#This Row],[quantity]]</f>
        <v>7500</v>
      </c>
      <c r="M1486" s="10">
        <v>7500</v>
      </c>
      <c r="N1486">
        <f t="shared" si="28"/>
        <v>7500</v>
      </c>
      <c r="O1486" s="10">
        <v>1190</v>
      </c>
      <c r="P14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Row],[orderNum]],ТабПозиции[orderSumm])&gt;1500),ABS(N1486*VLOOKUP(ТабПозиции[[#This Row],[orderNum]],ТабЗаказы[#Data],MATCH("Percent",ТабЗаказы[#Headers],0),0))/100,200/COUNTIF(ТабПозиции[orderNum],ТабПозиции[[#This Row],[orderNum]])),0),"")</f>
        <v>750</v>
      </c>
      <c r="Q1486">
        <f>IF(OR(ТабПозиции[[#This Row],[item]]="По штрихкоду",ТабПозиции[[#This Row],[item]]="Посылка"),ТабПозиции[[#This Row],[deliverySumm]]+ТабПозиции[[#This Row],[deliveryPost]],SUM(N1486:P1486))</f>
        <v>1940</v>
      </c>
      <c r="R1486" s="41">
        <v>1940</v>
      </c>
      <c r="S1486" s="46">
        <f>ТабПозиции[[#This Row],[totalSumm]]-ТабПозиции[[#This Row],[payment]]</f>
        <v>0</v>
      </c>
      <c r="T1486" s="18" t="s">
        <v>1021</v>
      </c>
      <c r="U1486" s="40" t="s">
        <v>545</v>
      </c>
      <c r="V1486" s="40" t="str">
        <f>IF(AND(ТабПозиции[[#This Row],[Остаток]]=0,ТабПозиции[[#This Row],[Заказан]]="Да"),"Да","Нет")</f>
        <v>Да</v>
      </c>
      <c r="W1486" s="40" t="s">
        <v>545</v>
      </c>
      <c r="X1486" s="3"/>
      <c r="Y1486"/>
    </row>
    <row r="1487" spans="1:25" hidden="1" x14ac:dyDescent="0.25">
      <c r="A1487" s="10">
        <v>389</v>
      </c>
      <c r="B1487" s="1">
        <f>IFERROR(VLOOKUP(ТабПозиции[[#This Row],[orderNum]],ТабЗаказы[#Data],MATCH(B$7,ТабЗаказы[#Headers],0),0),"")</f>
        <v>45639</v>
      </c>
      <c r="C1487" t="str">
        <f>MONTH(ТабПозиции[[#This Row],[date]])&amp;"/"&amp;YEAR(ТабПозиции[[#This Row],[date]])</f>
        <v>12/2024</v>
      </c>
      <c r="D1487" s="1" t="str">
        <f>IFERROR(VLOOKUP(ТабПозиции[[#This Row],[orderNum]],ТабЗаказы[#Data],MATCH(D$7,ТабЗаказы[#Headers],0),0),"")</f>
        <v/>
      </c>
      <c r="E1487" s="1" t="str">
        <f>IFERROR(VLOOKUP(ТабПозиции[[#This Row],[orderNum]],ТабЗаказы[#Data],MATCH(E$7,ТабЗаказы[#Headers],0),0),"")</f>
        <v/>
      </c>
      <c r="F1487" s="10" t="s">
        <v>32</v>
      </c>
      <c r="G1487" s="40" t="s">
        <v>545</v>
      </c>
      <c r="I1487" s="18">
        <v>45639</v>
      </c>
      <c r="J1487" s="10">
        <v>1</v>
      </c>
      <c r="K1487" s="10">
        <v>6703</v>
      </c>
      <c r="L1487">
        <f>ТабПозиции[[#This Row],[discountPrice]]*ТабПозиции[[#This Row],[quantity]]</f>
        <v>6703</v>
      </c>
      <c r="M1487" s="10">
        <v>6703</v>
      </c>
      <c r="N1487">
        <f t="shared" si="28"/>
        <v>6703</v>
      </c>
      <c r="P14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Row],[orderNum]],ТабПозиции[orderSumm])&gt;1500),ABS(N1487*VLOOKUP(ТабПозиции[[#This Row],[orderNum]],ТабЗаказы[#Data],MATCH("Percent",ТабЗаказы[#Headers],0),0))/100,200/COUNTIF(ТабПозиции[orderNum],ТабПозиции[[#This Row],[orderNum]])),0),"")</f>
        <v>1005</v>
      </c>
      <c r="Q1487">
        <f>IF(OR(ТабПозиции[[#This Row],[item]]="По штрихкоду",ТабПозиции[[#This Row],[item]]="Посылка"),ТабПозиции[[#This Row],[deliverySumm]]+ТабПозиции[[#This Row],[deliveryPost]],SUM(N1487:P1487))</f>
        <v>1005</v>
      </c>
      <c r="R1487" s="41">
        <v>1005</v>
      </c>
      <c r="S1487" s="46">
        <f>ТабПозиции[[#This Row],[totalSumm]]-ТабПозиции[[#This Row],[payment]]</f>
        <v>0</v>
      </c>
      <c r="T1487" s="18" t="s">
        <v>970</v>
      </c>
      <c r="U1487" s="40" t="s">
        <v>545</v>
      </c>
      <c r="V1487" s="40" t="str">
        <f>IF(AND(ТабПозиции[[#This Row],[Остаток]]=0,ТабПозиции[[#This Row],[Заказан]]="Да"),"Да","Нет")</f>
        <v>Да</v>
      </c>
      <c r="W1487" s="40" t="str">
        <f>IF(AND(ТабПозиции[[#This Row],[Остаток]]=0,ТабПозиции[[#This Row],[Заказан]]="Да"),"Да","Нет")</f>
        <v>Да</v>
      </c>
      <c r="X1487" s="3"/>
      <c r="Y1487"/>
    </row>
    <row r="1488" spans="1:25" hidden="1" x14ac:dyDescent="0.25">
      <c r="A1488" s="10">
        <v>390</v>
      </c>
      <c r="B1488" s="1">
        <f>IFERROR(VLOOKUP(ТабПозиции[[#This Row],[orderNum]],ТабЗаказы[#Data],MATCH(B$7,ТабЗаказы[#Headers],0),0),"")</f>
        <v>45639</v>
      </c>
      <c r="C1488" t="str">
        <f>MONTH(ТабПозиции[[#This Row],[date]])&amp;"/"&amp;YEAR(ТабПозиции[[#This Row],[date]])</f>
        <v>12/2024</v>
      </c>
      <c r="D1488" s="1" t="s">
        <v>456</v>
      </c>
      <c r="E1488" s="1" t="str">
        <f>IFERROR(VLOOKUP(ТабПозиции[[#This Row],[orderNum]],ТабЗаказы[#Data],MATCH(E$7,ТабЗаказы[#Headers],0),0),"")</f>
        <v/>
      </c>
      <c r="F1488" s="10" t="s">
        <v>32</v>
      </c>
      <c r="G1488" s="40" t="s">
        <v>545</v>
      </c>
      <c r="I1488" s="18">
        <v>45639</v>
      </c>
      <c r="J1488" s="10">
        <v>1</v>
      </c>
      <c r="K1488" s="10">
        <v>1232</v>
      </c>
      <c r="L1488">
        <f>ТабПозиции[[#This Row],[discountPrice]]*ТабПозиции[[#This Row],[quantity]]</f>
        <v>1232</v>
      </c>
      <c r="M1488" s="10">
        <v>1232</v>
      </c>
      <c r="N1488">
        <f t="shared" si="28"/>
        <v>1232</v>
      </c>
      <c r="P14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Row],[orderNum]],ТабПозиции[orderSumm])&gt;1500),ABS(N1488*VLOOKUP(ТабПозиции[[#This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488">
        <f>IF(OR(ТабПозиции[[#This Row],[item]]="По штрихкоду",ТабПозиции[[#This Row],[item]]="Посылка"),ТабПозиции[[#This Row],[deliverySumm]]+ТабПозиции[[#This Row],[deliveryPost]],SUM(N1488:P1488))</f>
        <v>200</v>
      </c>
      <c r="R1488" s="41">
        <v>200</v>
      </c>
      <c r="S1488" s="46">
        <f>ТабПозиции[[#This Row],[totalSumm]]-ТабПозиции[[#This Row],[payment]]</f>
        <v>0</v>
      </c>
      <c r="T1488" s="18" t="s">
        <v>970</v>
      </c>
      <c r="U1488" s="40" t="s">
        <v>545</v>
      </c>
      <c r="V1488" s="40" t="str">
        <f>IF(AND(ТабПозиции[[#This Row],[Остаток]]=0,ТабПозиции[[#This Row],[Заказан]]="Да"),"Да","Нет")</f>
        <v>Да</v>
      </c>
      <c r="W1488" s="40" t="str">
        <f>IF(AND(ТабПозиции[[#This Row],[Остаток]]=0,ТабПозиции[[#This Row],[Заказан]]="Да"),"Да","Нет")</f>
        <v>Да</v>
      </c>
      <c r="X1488" s="3"/>
      <c r="Y1488"/>
    </row>
    <row r="1489" spans="1:25" hidden="1" x14ac:dyDescent="0.25">
      <c r="A1489" s="10">
        <v>391</v>
      </c>
      <c r="B1489" s="1">
        <f>IFERROR(VLOOKUP(ТабПозиции[[#This Row],[orderNum]],ТабЗаказы[#Data],MATCH(B$7,ТабЗаказы[#Headers],0),0),"")</f>
        <v>45639</v>
      </c>
      <c r="C1489" t="str">
        <f>MONTH(ТабПозиции[[#This Row],[date]])&amp;"/"&amp;YEAR(ТабПозиции[[#This Row],[date]])</f>
        <v>12/2024</v>
      </c>
      <c r="D1489" s="1" t="str">
        <f>IFERROR(VLOOKUP(ТабПозиции[[#This Row],[orderNum]],ТабЗаказы[#Data],MATCH(D$7,ТабЗаказы[#Headers],0),0),"")</f>
        <v/>
      </c>
      <c r="E1489" s="1" t="str">
        <f>IFERROR(VLOOKUP(ТабПозиции[[#This Row],[orderNum]],ТабЗаказы[#Data],MATCH(E$7,ТабЗаказы[#Headers],0),0),"")</f>
        <v/>
      </c>
      <c r="F1489" s="10" t="s">
        <v>32</v>
      </c>
      <c r="G1489" s="40" t="s">
        <v>545</v>
      </c>
      <c r="I1489" s="18">
        <v>45639</v>
      </c>
      <c r="J1489" s="10">
        <v>1</v>
      </c>
      <c r="K1489" s="10">
        <v>1123</v>
      </c>
      <c r="L1489">
        <f>ТабПозиции[[#This Row],[discountPrice]]*ТабПозиции[[#This Row],[quantity]]</f>
        <v>1123</v>
      </c>
      <c r="M1489" s="10">
        <v>1123</v>
      </c>
      <c r="N1489">
        <f t="shared" si="28"/>
        <v>1123</v>
      </c>
      <c r="P14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Row],[orderNum]],ТабПозиции[orderSumm])&gt;1500),ABS(N1489*VLOOKUP(ТабПозиции[[#This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489">
        <f>IF(OR(ТабПозиции[[#This Row],[item]]="По штрихкоду",ТабПозиции[[#This Row],[item]]="Посылка"),ТабПозиции[[#This Row],[deliverySumm]]+ТабПозиции[[#This Row],[deliveryPost]],SUM(N1489:P1489))</f>
        <v>200</v>
      </c>
      <c r="R1489" s="41">
        <v>200</v>
      </c>
      <c r="S1489" s="46">
        <f>ТабПозиции[[#This Row],[totalSumm]]-ТабПозиции[[#This Row],[payment]]</f>
        <v>0</v>
      </c>
      <c r="T1489" s="18" t="s">
        <v>970</v>
      </c>
      <c r="U1489" s="40" t="s">
        <v>545</v>
      </c>
      <c r="V1489" s="40" t="str">
        <f>IF(AND(ТабПозиции[[#This Row],[Остаток]]=0,ТабПозиции[[#This Row],[Заказан]]="Да"),"Да","Нет")</f>
        <v>Да</v>
      </c>
      <c r="W1489" s="40" t="str">
        <f>IF(AND(ТабПозиции[[#This Row],[Остаток]]=0,ТабПозиции[[#This Row],[Заказан]]="Да"),"Да","Нет")</f>
        <v>Да</v>
      </c>
      <c r="X1489" s="3"/>
      <c r="Y1489"/>
    </row>
    <row r="1490" spans="1:25" hidden="1" x14ac:dyDescent="0.25">
      <c r="A1490" s="10">
        <v>392</v>
      </c>
      <c r="B1490" s="1">
        <f>IFERROR(VLOOKUP(ТабПозиции[[#This Row],[orderNum]],ТабЗаказы[#Data],MATCH(B$7,ТабЗаказы[#Headers],0),0),"")</f>
        <v>45639</v>
      </c>
      <c r="C1490" t="str">
        <f>MONTH(ТабПозиции[[#This Row],[date]])&amp;"/"&amp;YEAR(ТабПозиции[[#This Row],[date]])</f>
        <v>12/2024</v>
      </c>
      <c r="D1490" s="1" t="str">
        <f>IFERROR(VLOOKUP(ТабПозиции[[#This Row],[orderNum]],ТабЗаказы[#Data],MATCH(D$7,ТабЗаказы[#Headers],0),0),"")</f>
        <v/>
      </c>
      <c r="E1490" s="1" t="str">
        <f>IFERROR(VLOOKUP(ТабПозиции[[#This Row],[orderNum]],ТабЗаказы[#Data],MATCH(E$7,ТабЗаказы[#Headers],0),0),"")</f>
        <v/>
      </c>
      <c r="F1490" s="16" t="s">
        <v>2016</v>
      </c>
      <c r="G1490" s="40" t="s">
        <v>545</v>
      </c>
      <c r="I1490" s="18">
        <v>45642</v>
      </c>
      <c r="J1490" s="10">
        <v>1</v>
      </c>
      <c r="K1490" s="10">
        <v>853</v>
      </c>
      <c r="L1490">
        <f>ТабПозиции[[#This Row],[discountPrice]]*ТабПозиции[[#This Row],[quantity]]</f>
        <v>853</v>
      </c>
      <c r="M1490" s="10">
        <v>898</v>
      </c>
      <c r="N1490">
        <f t="shared" si="28"/>
        <v>898</v>
      </c>
      <c r="P14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Row],[orderNum]],ТабПозиции[orderSumm])&gt;1500),ABS(N1490*VLOOKUP(ТабПозиции[[#This Row],[orderNum]],ТабЗаказы[#Data],MATCH("Percent",ТабЗаказы[#Headers],0),0))/100,200/COUNTIF(ТабПозиции[orderNum],ТабПозиции[[#This Row],[orderNum]])),0),"")</f>
        <v>135</v>
      </c>
      <c r="Q1490">
        <f>IF(OR(ТабПозиции[[#This Row],[item]]="По штрихкоду",ТабПозиции[[#This Row],[item]]="Посылка"),ТабПозиции[[#This Row],[deliverySumm]]+ТабПозиции[[#This Row],[deliveryPost]],SUM(N1490:P1490))</f>
        <v>1033</v>
      </c>
      <c r="R1490" s="41">
        <v>1033</v>
      </c>
      <c r="S1490" s="46">
        <f>ТабПозиции[[#This Row],[totalSumm]]-ТабПозиции[[#This Row],[payment]]</f>
        <v>0</v>
      </c>
      <c r="T1490" s="18" t="s">
        <v>970</v>
      </c>
      <c r="U1490" s="40" t="s">
        <v>545</v>
      </c>
      <c r="V1490" s="40" t="str">
        <f>IF(AND(ТабПозиции[[#This Row],[Остаток]]=0,ТабПозиции[[#This Row],[Заказан]]="Да"),"Да","Нет")</f>
        <v>Да</v>
      </c>
      <c r="W1490" s="40" t="s">
        <v>545</v>
      </c>
      <c r="X1490" s="3"/>
      <c r="Y1490"/>
    </row>
    <row r="1491" spans="1:25" hidden="1" x14ac:dyDescent="0.25">
      <c r="A1491" s="10">
        <v>392</v>
      </c>
      <c r="B1491" s="1">
        <f>IFERROR(VLOOKUP(ТабПозиции[[#This Row],[orderNum]],ТабЗаказы[#Data],MATCH(B$7,ТабЗаказы[#Headers],0),0),"")</f>
        <v>45639</v>
      </c>
      <c r="C1491" t="str">
        <f>MONTH(ТабПозиции[[#This Row],[date]])&amp;"/"&amp;YEAR(ТабПозиции[[#This Row],[date]])</f>
        <v>12/2024</v>
      </c>
      <c r="D1491" s="1" t="str">
        <f>IFERROR(VLOOKUP(ТабПозиции[[#This Row],[orderNum]],ТабЗаказы[#Data],MATCH(D$7,ТабЗаказы[#Headers],0),0),"")</f>
        <v/>
      </c>
      <c r="E1491" s="1" t="str">
        <f>IFERROR(VLOOKUP(ТабПозиции[[#This Row],[orderNum]],ТабЗаказы[#Data],MATCH(E$7,ТабЗаказы[#Headers],0),0),"")</f>
        <v/>
      </c>
      <c r="F1491" s="16" t="s">
        <v>1373</v>
      </c>
      <c r="G1491" s="40" t="s">
        <v>545</v>
      </c>
      <c r="I1491" s="18">
        <v>45641</v>
      </c>
      <c r="J1491" s="10">
        <v>1</v>
      </c>
      <c r="K1491" s="10">
        <v>1132</v>
      </c>
      <c r="L1491">
        <f>ТабПозиции[[#This Row],[discountPrice]]*ТабПозиции[[#This Row],[quantity]]</f>
        <v>1132</v>
      </c>
      <c r="M1491" s="10">
        <v>1192</v>
      </c>
      <c r="N1491">
        <f t="shared" si="28"/>
        <v>1192</v>
      </c>
      <c r="P14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Row],[orderNum]],ТабПозиции[orderSumm])&gt;1500),ABS(N1491*VLOOKUP(ТабПозиции[[#This Row],[orderNum]],ТабЗаказы[#Data],MATCH("Percent",ТабЗаказы[#Headers],0),0))/100,200/COUNTIF(ТабПозиции[orderNum],ТабПозиции[[#This Row],[orderNum]])),0),"")</f>
        <v>179</v>
      </c>
      <c r="Q1491">
        <f>IF(OR(ТабПозиции[[#This Row],[item]]="По штрихкоду",ТабПозиции[[#This Row],[item]]="Посылка"),ТабПозиции[[#This Row],[deliverySumm]]+ТабПозиции[[#This Row],[deliveryPost]],SUM(N1491:P1491))</f>
        <v>1371</v>
      </c>
      <c r="R1491" s="41">
        <v>1371</v>
      </c>
      <c r="S1491" s="46">
        <f>ТабПозиции[[#This Row],[totalSumm]]-ТабПозиции[[#This Row],[payment]]</f>
        <v>0</v>
      </c>
      <c r="T1491" s="18" t="s">
        <v>970</v>
      </c>
      <c r="U1491" s="40" t="s">
        <v>545</v>
      </c>
      <c r="V1491" s="40" t="str">
        <f>IF(AND(ТабПозиции[[#This Row],[Остаток]]=0,ТабПозиции[[#This Row],[Заказан]]="Да"),"Да","Нет")</f>
        <v>Да</v>
      </c>
      <c r="W1491" s="40" t="s">
        <v>545</v>
      </c>
      <c r="X1491" s="3"/>
      <c r="Y1491"/>
    </row>
    <row r="1492" spans="1:25" hidden="1" x14ac:dyDescent="0.25">
      <c r="A1492" s="10">
        <v>392</v>
      </c>
      <c r="B1492" s="1">
        <f>IFERROR(VLOOKUP(ТабПозиции[[#This Row],[orderNum]],ТабЗаказы[#Data],MATCH(B$7,ТабЗаказы[#Headers],0),0),"")</f>
        <v>45639</v>
      </c>
      <c r="C1492" t="str">
        <f>MONTH(ТабПозиции[[#This Row],[date]])&amp;"/"&amp;YEAR(ТабПозиции[[#This Row],[date]])</f>
        <v>12/2024</v>
      </c>
      <c r="D1492" s="1" t="str">
        <f>IFERROR(VLOOKUP(ТабПозиции[[#This Row],[orderNum]],ТабЗаказы[#Data],MATCH(D$7,ТабЗаказы[#Headers],0),0),"")</f>
        <v/>
      </c>
      <c r="E1492" s="1" t="str">
        <f>IFERROR(VLOOKUP(ТабПозиции[[#This Row],[orderNum]],ТабЗаказы[#Data],MATCH(E$7,ТабЗаказы[#Headers],0),0),"")</f>
        <v/>
      </c>
      <c r="F1492" s="16" t="s">
        <v>1036</v>
      </c>
      <c r="G1492" s="40" t="s">
        <v>545</v>
      </c>
      <c r="I1492" s="18">
        <v>45641</v>
      </c>
      <c r="J1492" s="10">
        <v>1</v>
      </c>
      <c r="K1492" s="10">
        <v>1125</v>
      </c>
      <c r="L1492">
        <f>ТабПозиции[[#This Row],[discountPrice]]*ТабПозиции[[#This Row],[quantity]]</f>
        <v>1125</v>
      </c>
      <c r="M1492" s="10">
        <v>1185</v>
      </c>
      <c r="N1492">
        <f t="shared" si="28"/>
        <v>1185</v>
      </c>
      <c r="P14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Row],[orderNum]],ТабПозиции[orderSumm])&gt;1500),ABS(N1492*VLOOKUP(ТабПозиции[[#This Row],[orderNum]],ТабЗаказы[#Data],MATCH("Percent",ТабЗаказы[#Headers],0),0))/100,200/COUNTIF(ТабПозиции[orderNum],ТабПозиции[[#This Row],[orderNum]])),0),"")</f>
        <v>178</v>
      </c>
      <c r="Q1492">
        <f>IF(OR(ТабПозиции[[#This Row],[item]]="По штрихкоду",ТабПозиции[[#This Row],[item]]="Посылка"),ТабПозиции[[#This Row],[deliverySumm]]+ТабПозиции[[#This Row],[deliveryPost]],SUM(N1492:P1492))</f>
        <v>1363</v>
      </c>
      <c r="R1492" s="41">
        <v>1363</v>
      </c>
      <c r="S1492" s="46">
        <f>ТабПозиции[[#This Row],[totalSumm]]-ТабПозиции[[#This Row],[payment]]</f>
        <v>0</v>
      </c>
      <c r="T1492" s="18" t="s">
        <v>970</v>
      </c>
      <c r="U1492" s="40" t="s">
        <v>545</v>
      </c>
      <c r="V1492" s="40" t="str">
        <f>IF(AND(ТабПозиции[[#This Row],[Остаток]]=0,ТабПозиции[[#This Row],[Заказан]]="Да"),"Да","Нет")</f>
        <v>Да</v>
      </c>
      <c r="W1492" s="40" t="s">
        <v>545</v>
      </c>
      <c r="X1492" s="3"/>
      <c r="Y1492"/>
    </row>
    <row r="1493" spans="1:25" hidden="1" x14ac:dyDescent="0.25">
      <c r="A1493" s="10">
        <v>392</v>
      </c>
      <c r="B1493" s="1">
        <f>IFERROR(VLOOKUP(ТабПозиции[[#This Row],[orderNum]],ТабЗаказы[#Data],MATCH(B$7,ТабЗаказы[#Headers],0),0),"")</f>
        <v>45639</v>
      </c>
      <c r="C1493" t="str">
        <f>MONTH(ТабПозиции[[#This Row],[date]])&amp;"/"&amp;YEAR(ТабПозиции[[#This Row],[date]])</f>
        <v>12/2024</v>
      </c>
      <c r="D1493" s="1" t="str">
        <f>IFERROR(VLOOKUP(ТабПозиции[[#This Row],[orderNum]],ТабЗаказы[#Data],MATCH(D$7,ТабЗаказы[#Headers],0),0),"")</f>
        <v/>
      </c>
      <c r="E1493" s="1" t="str">
        <f>IFERROR(VLOOKUP(ТабПозиции[[#This Row],[orderNum]],ТабЗаказы[#Data],MATCH(E$7,ТабЗаказы[#Headers],0),0),"")</f>
        <v/>
      </c>
      <c r="F1493" s="16" t="s">
        <v>2017</v>
      </c>
      <c r="G1493" s="40" t="s">
        <v>545</v>
      </c>
      <c r="I1493" s="18">
        <v>45643</v>
      </c>
      <c r="J1493" s="10">
        <v>1</v>
      </c>
      <c r="K1493" s="10">
        <v>210</v>
      </c>
      <c r="L1493">
        <f>ТабПозиции[[#This Row],[discountPrice]]*ТабПозиции[[#This Row],[quantity]]</f>
        <v>210</v>
      </c>
      <c r="M1493" s="10">
        <v>222</v>
      </c>
      <c r="N1493">
        <f t="shared" si="28"/>
        <v>222</v>
      </c>
      <c r="P14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Row],[orderNum]],ТабПозиции[orderSumm])&gt;1500),ABS(N1493*VLOOKUP(ТабПозиции[[#This Row],[orderNum]],ТабЗаказы[#Data],MATCH("Percent",ТабЗаказы[#Headers],0),0))/100,200/COUNTIF(ТабПозиции[orderNum],ТабПозиции[[#This Row],[orderNum]])),0),"")</f>
        <v>33</v>
      </c>
      <c r="Q1493">
        <f>IF(OR(ТабПозиции[[#This Row],[item]]="По штрихкоду",ТабПозиции[[#This Row],[item]]="Посылка"),ТабПозиции[[#This Row],[deliverySumm]]+ТабПозиции[[#This Row],[deliveryPost]],SUM(N1493:P1493))</f>
        <v>255</v>
      </c>
      <c r="R1493" s="41">
        <v>255</v>
      </c>
      <c r="S1493" s="46">
        <f>ТабПозиции[[#This Row],[totalSumm]]-ТабПозиции[[#This Row],[payment]]</f>
        <v>0</v>
      </c>
      <c r="T1493" s="18" t="s">
        <v>970</v>
      </c>
      <c r="U1493" s="40" t="s">
        <v>545</v>
      </c>
      <c r="V1493" s="40" t="str">
        <f>IF(AND(ТабПозиции[[#This Row],[Остаток]]=0,ТабПозиции[[#This Row],[Заказан]]="Да"),"Да","Нет")</f>
        <v>Да</v>
      </c>
      <c r="W1493" s="40" t="s">
        <v>545</v>
      </c>
      <c r="X1493" s="3"/>
      <c r="Y1493"/>
    </row>
    <row r="1494" spans="1:25" hidden="1" x14ac:dyDescent="0.25">
      <c r="A1494" s="10">
        <v>393</v>
      </c>
      <c r="B1494" s="1">
        <f>IFERROR(VLOOKUP(ТабПозиции[[#This Row],[orderNum]],ТабЗаказы[#Data],MATCH(B$7,ТабЗаказы[#Headers],0),0),"")</f>
        <v>45641</v>
      </c>
      <c r="C1494" t="str">
        <f>MONTH(ТабПозиции[[#This Row],[date]])&amp;"/"&amp;YEAR(ТабПозиции[[#This Row],[date]])</f>
        <v>12/2024</v>
      </c>
      <c r="D1494" s="1" t="str">
        <f>IFERROR(VLOOKUP(ТабПозиции[[#This Row],[orderNum]],ТабЗаказы[#Data],MATCH(D$7,ТабЗаказы[#Headers],0),0),"")</f>
        <v/>
      </c>
      <c r="E1494" s="1" t="str">
        <f>IFERROR(VLOOKUP(ТабПозиции[[#This Row],[orderNum]],ТабЗаказы[#Data],MATCH(E$7,ТабЗаказы[#Headers],0),0),"")</f>
        <v/>
      </c>
      <c r="F1494" s="16" t="s">
        <v>1814</v>
      </c>
      <c r="G1494" s="40" t="s">
        <v>545</v>
      </c>
      <c r="I1494" s="18">
        <v>45647</v>
      </c>
      <c r="J1494" s="10">
        <v>1</v>
      </c>
      <c r="K1494" s="10">
        <v>1204</v>
      </c>
      <c r="L1494">
        <f>ТабПозиции[[#This Row],[discountPrice]]*ТабПозиции[[#This Row],[quantity]]</f>
        <v>1204</v>
      </c>
      <c r="M1494" s="10">
        <v>1268</v>
      </c>
      <c r="N1494">
        <f t="shared" si="28"/>
        <v>1268</v>
      </c>
      <c r="P14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Row],[orderNum]],ТабПозиции[orderSumm])&gt;1500),ABS(N1494*VLOOKUP(ТабПозиции[[#This Row],[orderNum]],ТабЗаказы[#Data],MATCH("Percent",ТабЗаказы[#Headers],0),0))/100,200/COUNTIF(ТабПозиции[orderNum],ТабПозиции[[#This Row],[orderNum]])),0),"")</f>
        <v>190</v>
      </c>
      <c r="Q1494">
        <f>IF(OR(ТабПозиции[[#This Row],[item]]="По штрихкоду",ТабПозиции[[#This Row],[item]]="Посылка"),ТабПозиции[[#This Row],[deliverySumm]]+ТабПозиции[[#This Row],[deliveryPost]],SUM(N1494:P1494))</f>
        <v>1458</v>
      </c>
      <c r="R1494" s="41">
        <v>1458</v>
      </c>
      <c r="S1494" s="46">
        <f>ТабПозиции[[#This Row],[totalSumm]]-ТабПозиции[[#This Row],[payment]]</f>
        <v>0</v>
      </c>
      <c r="T1494" s="18" t="s">
        <v>970</v>
      </c>
      <c r="U1494" s="40" t="s">
        <v>545</v>
      </c>
      <c r="V1494" s="40" t="str">
        <f>IF(AND(ТабПозиции[[#This Row],[Остаток]]=0,ТабПозиции[[#This Row],[Заказан]]="Да"),"Да","Нет")</f>
        <v>Да</v>
      </c>
      <c r="W1494" s="40" t="s">
        <v>545</v>
      </c>
      <c r="X1494" s="3"/>
      <c r="Y1494"/>
    </row>
    <row r="1495" spans="1:25" hidden="1" x14ac:dyDescent="0.25">
      <c r="A1495" s="10">
        <v>393</v>
      </c>
      <c r="B1495" s="1">
        <f>IFERROR(VLOOKUP(ТабПозиции[[#This Row],[orderNum]],ТабЗаказы[#Data],MATCH(B$7,ТабЗаказы[#Headers],0),0),"")</f>
        <v>45641</v>
      </c>
      <c r="C1495" t="str">
        <f>MONTH(ТабПозиции[[#This Row],[date]])&amp;"/"&amp;YEAR(ТабПозиции[[#This Row],[date]])</f>
        <v>12/2024</v>
      </c>
      <c r="D1495" s="1" t="str">
        <f>IFERROR(VLOOKUP(ТабПозиции[[#This Row],[orderNum]],ТабЗаказы[#Data],MATCH(D$7,ТабЗаказы[#Headers],0),0),"")</f>
        <v/>
      </c>
      <c r="E1495" s="1" t="str">
        <f>IFERROR(VLOOKUP(ТабПозиции[[#This Row],[orderNum]],ТабЗаказы[#Data],MATCH(E$7,ТабЗаказы[#Headers],0),0),"")</f>
        <v/>
      </c>
      <c r="F1495" s="16" t="s">
        <v>2018</v>
      </c>
      <c r="G1495" s="40" t="s">
        <v>545</v>
      </c>
      <c r="I1495" s="18">
        <v>45645</v>
      </c>
      <c r="J1495" s="10">
        <v>1</v>
      </c>
      <c r="K1495" s="10">
        <v>434</v>
      </c>
      <c r="L1495">
        <f>ТабПозиции[[#This Row],[discountPrice]]*ТабПозиции[[#This Row],[quantity]]</f>
        <v>434</v>
      </c>
      <c r="M1495" s="10">
        <v>457</v>
      </c>
      <c r="N1495">
        <f t="shared" si="28"/>
        <v>457</v>
      </c>
      <c r="P14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Row],[orderNum]],ТабПозиции[orderSumm])&gt;1500),ABS(N1495*VLOOKUP(ТабПозиции[[#This Row],[orderNum]],ТабЗаказы[#Data],MATCH("Percent",ТабЗаказы[#Headers],0),0))/100,200/COUNTIF(ТабПозиции[orderNum],ТабПозиции[[#This Row],[orderNum]])),0),"")</f>
        <v>69</v>
      </c>
      <c r="Q1495">
        <f>IF(OR(ТабПозиции[[#This Row],[item]]="По штрихкоду",ТабПозиции[[#This Row],[item]]="Посылка"),ТабПозиции[[#This Row],[deliverySumm]]+ТабПозиции[[#This Row],[deliveryPost]],SUM(N1495:P1495))</f>
        <v>526</v>
      </c>
      <c r="R1495" s="41">
        <v>526</v>
      </c>
      <c r="S1495" s="46">
        <f>ТабПозиции[[#This Row],[totalSumm]]-ТабПозиции[[#This Row],[payment]]</f>
        <v>0</v>
      </c>
      <c r="T1495" s="18" t="s">
        <v>970</v>
      </c>
      <c r="U1495" s="40" t="s">
        <v>545</v>
      </c>
      <c r="V1495" s="40" t="str">
        <f>IF(AND(ТабПозиции[[#This Row],[Остаток]]=0,ТабПозиции[[#This Row],[Заказан]]="Да"),"Да","Нет")</f>
        <v>Да</v>
      </c>
      <c r="W1495" s="40" t="s">
        <v>545</v>
      </c>
      <c r="X1495" s="3"/>
      <c r="Y1495"/>
    </row>
    <row r="1496" spans="1:25" hidden="1" x14ac:dyDescent="0.25">
      <c r="A1496" s="10">
        <v>393</v>
      </c>
      <c r="B1496" s="1">
        <f>IFERROR(VLOOKUP(ТабПозиции[[#This Row],[orderNum]],ТабЗаказы[#Data],MATCH(B$7,ТабЗаказы[#Headers],0),0),"")</f>
        <v>45641</v>
      </c>
      <c r="C1496" t="str">
        <f>MONTH(ТабПозиции[[#This Row],[date]])&amp;"/"&amp;YEAR(ТабПозиции[[#This Row],[date]])</f>
        <v>12/2024</v>
      </c>
      <c r="D1496" s="1" t="str">
        <f>IFERROR(VLOOKUP(ТабПозиции[[#This Row],[orderNum]],ТабЗаказы[#Data],MATCH(D$7,ТабЗаказы[#Headers],0),0),"")</f>
        <v/>
      </c>
      <c r="E1496" s="1" t="str">
        <f>IFERROR(VLOOKUP(ТабПозиции[[#This Row],[orderNum]],ТабЗаказы[#Data],MATCH(E$7,ТабЗаказы[#Headers],0),0),"")</f>
        <v/>
      </c>
      <c r="F1496" s="16" t="s">
        <v>2019</v>
      </c>
      <c r="G1496" s="40" t="s">
        <v>545</v>
      </c>
      <c r="I1496" s="18">
        <v>45648</v>
      </c>
      <c r="J1496" s="10">
        <v>1</v>
      </c>
      <c r="K1496" s="10">
        <v>381</v>
      </c>
      <c r="L1496">
        <f>ТабПозиции[[#This Row],[discountPrice]]*ТабПозиции[[#This Row],[quantity]]</f>
        <v>381</v>
      </c>
      <c r="M1496" s="10">
        <v>402</v>
      </c>
      <c r="N1496">
        <f t="shared" si="28"/>
        <v>402</v>
      </c>
      <c r="P14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Row],[orderNum]],ТабПозиции[orderSumm])&gt;1500),ABS(N1496*VLOOKUP(ТабПозиции[[#This Row],[orderNum]],ТабЗаказы[#Data],MATCH("Percent",ТабЗаказы[#Headers],0),0))/100,200/COUNTIF(ТабПозиции[orderNum],ТабПозиции[[#This Row],[orderNum]])),0),"")</f>
        <v>60</v>
      </c>
      <c r="Q1496">
        <f>IF(OR(ТабПозиции[[#This Row],[item]]="По штрихкоду",ТабПозиции[[#This Row],[item]]="Посылка"),ТабПозиции[[#This Row],[deliverySumm]]+ТабПозиции[[#This Row],[deliveryPost]],SUM(N1496:P1496))</f>
        <v>462</v>
      </c>
      <c r="R1496" s="41">
        <v>462</v>
      </c>
      <c r="S1496" s="46">
        <f>ТабПозиции[[#This Row],[totalSumm]]-ТабПозиции[[#This Row],[payment]]</f>
        <v>0</v>
      </c>
      <c r="T1496" s="18" t="s">
        <v>970</v>
      </c>
      <c r="U1496" s="40" t="s">
        <v>545</v>
      </c>
      <c r="V1496" s="40" t="str">
        <f>IF(AND(ТабПозиции[[#This Row],[Остаток]]=0,ТабПозиции[[#This Row],[Заказан]]="Да"),"Да","Нет")</f>
        <v>Да</v>
      </c>
      <c r="W1496" s="40" t="s">
        <v>545</v>
      </c>
      <c r="X1496" s="3"/>
      <c r="Y1496"/>
    </row>
    <row r="1497" spans="1:25" hidden="1" x14ac:dyDescent="0.25">
      <c r="A1497" s="10">
        <v>393</v>
      </c>
      <c r="B1497" s="1">
        <f>IFERROR(VLOOKUP(ТабПозиции[[#This Row],[orderNum]],ТабЗаказы[#Data],MATCH(B$7,ТабЗаказы[#Headers],0),0),"")</f>
        <v>45641</v>
      </c>
      <c r="C1497" t="str">
        <f>MONTH(ТабПозиции[[#This Row],[date]])&amp;"/"&amp;YEAR(ТабПозиции[[#This Row],[date]])</f>
        <v>12/2024</v>
      </c>
      <c r="D1497" s="1" t="str">
        <f>IFERROR(VLOOKUP(ТабПозиции[[#This Row],[orderNum]],ТабЗаказы[#Data],MATCH(D$7,ТабЗаказы[#Headers],0),0),"")</f>
        <v/>
      </c>
      <c r="E1497" s="1" t="str">
        <f>IFERROR(VLOOKUP(ТабПозиции[[#This Row],[orderNum]],ТабЗаказы[#Data],MATCH(E$7,ТабЗаказы[#Headers],0),0),"")</f>
        <v/>
      </c>
      <c r="F1497" s="16" t="s">
        <v>1424</v>
      </c>
      <c r="G1497" s="40" t="s">
        <v>545</v>
      </c>
      <c r="I1497" s="18">
        <v>45644</v>
      </c>
      <c r="J1497" s="10">
        <v>2</v>
      </c>
      <c r="K1497" s="10">
        <v>238</v>
      </c>
      <c r="L1497">
        <f>ТабПозиции[[#This Row],[discountPrice]]*ТабПозиции[[#This Row],[quantity]]</f>
        <v>476</v>
      </c>
      <c r="M1497" s="10">
        <v>251</v>
      </c>
      <c r="N1497">
        <f t="shared" si="28"/>
        <v>502</v>
      </c>
      <c r="P14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Row],[orderNum]],ТабПозиции[orderSumm])&gt;1500),ABS(N1497*VLOOKUP(ТабПозиции[[#This Row],[orderNum]],ТабЗаказы[#Data],MATCH("Percent",ТабЗаказы[#Headers],0),0))/100,200/COUNTIF(ТабПозиции[orderNum],ТабПозиции[[#This Row],[orderNum]])),0),"")</f>
        <v>75</v>
      </c>
      <c r="Q1497">
        <f>IF(OR(ТабПозиции[[#This Row],[item]]="По штрихкоду",ТабПозиции[[#This Row],[item]]="Посылка"),ТабПозиции[[#This Row],[deliverySumm]]+ТабПозиции[[#This Row],[deliveryPost]],SUM(N1497:P1497))</f>
        <v>577</v>
      </c>
      <c r="R1497" s="41">
        <v>577</v>
      </c>
      <c r="S1497" s="46">
        <f>ТабПозиции[[#This Row],[totalSumm]]-ТабПозиции[[#This Row],[payment]]</f>
        <v>0</v>
      </c>
      <c r="T1497" s="18" t="s">
        <v>970</v>
      </c>
      <c r="U1497" s="40" t="s">
        <v>545</v>
      </c>
      <c r="V1497" s="40" t="str">
        <f>IF(AND(ТабПозиции[[#This Row],[Остаток]]=0,ТабПозиции[[#This Row],[Заказан]]="Да"),"Да","Нет")</f>
        <v>Да</v>
      </c>
      <c r="W1497" s="40" t="s">
        <v>545</v>
      </c>
      <c r="X1497" s="3"/>
      <c r="Y1497"/>
    </row>
    <row r="1498" spans="1:25" hidden="1" x14ac:dyDescent="0.25">
      <c r="A1498" s="10">
        <v>393</v>
      </c>
      <c r="B1498" s="1">
        <f>IFERROR(VLOOKUP(ТабПозиции[[#This Row],[orderNum]],ТабЗаказы[#Data],MATCH(B$7,ТабЗаказы[#Headers],0),0),"")</f>
        <v>45641</v>
      </c>
      <c r="C1498" t="str">
        <f>MONTH(ТабПозиции[[#This Row],[date]])&amp;"/"&amp;YEAR(ТабПозиции[[#This Row],[date]])</f>
        <v>12/2024</v>
      </c>
      <c r="D1498" s="1" t="str">
        <f>IFERROR(VLOOKUP(ТабПозиции[[#This Row],[orderNum]],ТабЗаказы[#Data],MATCH(D$7,ТабЗаказы[#Headers],0),0),"")</f>
        <v/>
      </c>
      <c r="E1498" s="1" t="str">
        <f>IFERROR(VLOOKUP(ТабПозиции[[#This Row],[orderNum]],ТабЗаказы[#Data],MATCH(E$7,ТабЗаказы[#Headers],0),0),"")</f>
        <v/>
      </c>
      <c r="F1498" s="16" t="s">
        <v>1181</v>
      </c>
      <c r="G1498" s="40" t="s">
        <v>545</v>
      </c>
      <c r="I1498" s="18">
        <v>45644</v>
      </c>
      <c r="J1498" s="10">
        <v>1</v>
      </c>
      <c r="K1498" s="10">
        <v>795</v>
      </c>
      <c r="L1498">
        <f>ТабПозиции[[#This Row],[discountPrice]]*ТабПозиции[[#This Row],[quantity]]</f>
        <v>795</v>
      </c>
      <c r="M1498" s="10">
        <v>837</v>
      </c>
      <c r="N1498">
        <f t="shared" si="28"/>
        <v>837</v>
      </c>
      <c r="P14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Row],[orderNum]],ТабПозиции[orderSumm])&gt;1500),ABS(N1498*VLOOKUP(ТабПозиции[[#This Row],[orderNum]],ТабЗаказы[#Data],MATCH("Percent",ТабЗаказы[#Headers],0),0))/100,200/COUNTIF(ТабПозиции[orderNum],ТабПозиции[[#This Row],[orderNum]])),0),"")</f>
        <v>126</v>
      </c>
      <c r="Q1498">
        <f>IF(OR(ТабПозиции[[#This Row],[item]]="По штрихкоду",ТабПозиции[[#This Row],[item]]="Посылка"),ТабПозиции[[#This Row],[deliverySumm]]+ТабПозиции[[#This Row],[deliveryPost]],SUM(N1498:P1498))</f>
        <v>963</v>
      </c>
      <c r="R1498" s="41">
        <v>963</v>
      </c>
      <c r="S1498" s="46">
        <f>ТабПозиции[[#This Row],[totalSumm]]-ТабПозиции[[#This Row],[payment]]</f>
        <v>0</v>
      </c>
      <c r="T1498" s="18" t="s">
        <v>970</v>
      </c>
      <c r="U1498" s="40" t="s">
        <v>545</v>
      </c>
      <c r="V1498" s="40" t="str">
        <f>IF(AND(ТабПозиции[[#This Row],[Остаток]]=0,ТабПозиции[[#This Row],[Заказан]]="Да"),"Да","Нет")</f>
        <v>Да</v>
      </c>
      <c r="W1498" s="40" t="s">
        <v>545</v>
      </c>
      <c r="X1498" s="3"/>
      <c r="Y1498"/>
    </row>
    <row r="1499" spans="1:25" hidden="1" x14ac:dyDescent="0.25">
      <c r="A1499" s="10">
        <v>393</v>
      </c>
      <c r="B1499" s="1">
        <f>IFERROR(VLOOKUP(ТабПозиции[[#This Row],[orderNum]],ТабЗаказы[#Data],MATCH(B$7,ТабЗаказы[#Headers],0),0),"")</f>
        <v>45641</v>
      </c>
      <c r="C1499" t="str">
        <f>MONTH(ТабПозиции[[#This Row],[date]])&amp;"/"&amp;YEAR(ТабПозиции[[#This Row],[date]])</f>
        <v>12/2024</v>
      </c>
      <c r="D1499" s="1" t="str">
        <f>IFERROR(VLOOKUP(ТабПозиции[[#This Row],[orderNum]],ТабЗаказы[#Data],MATCH(D$7,ТабЗаказы[#Headers],0),0),"")</f>
        <v/>
      </c>
      <c r="E1499" s="1" t="str">
        <f>IFERROR(VLOOKUP(ТабПозиции[[#This Row],[orderNum]],ТабЗаказы[#Data],MATCH(E$7,ТабЗаказы[#Headers],0),0),"")</f>
        <v/>
      </c>
      <c r="F1499" s="16" t="s">
        <v>2020</v>
      </c>
      <c r="G1499" s="40" t="s">
        <v>545</v>
      </c>
      <c r="I1499" s="18">
        <v>45645</v>
      </c>
      <c r="J1499" s="10">
        <v>1</v>
      </c>
      <c r="K1499" s="10">
        <v>213</v>
      </c>
      <c r="L1499">
        <f>ТабПозиции[[#This Row],[discountPrice]]*ТабПозиции[[#This Row],[quantity]]</f>
        <v>213</v>
      </c>
      <c r="M1499" s="10">
        <v>225</v>
      </c>
      <c r="N1499">
        <f t="shared" si="28"/>
        <v>225</v>
      </c>
      <c r="P14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Row],[orderNum]],ТабПозиции[orderSumm])&gt;1500),ABS(N1499*VLOOKUP(ТабПозиции[[#This Row],[orderNum]],ТабЗаказы[#Data],MATCH("Percent",ТабЗаказы[#Headers],0),0))/100,200/COUNTIF(ТабПозиции[orderNum],ТабПозиции[[#This Row],[orderNum]])),0),"")</f>
        <v>34</v>
      </c>
      <c r="Q1499">
        <f>IF(OR(ТабПозиции[[#This Row],[item]]="По штрихкоду",ТабПозиции[[#This Row],[item]]="Посылка"),ТабПозиции[[#This Row],[deliverySumm]]+ТабПозиции[[#This Row],[deliveryPost]],SUM(N1499:P1499))</f>
        <v>259</v>
      </c>
      <c r="R1499" s="41">
        <v>259</v>
      </c>
      <c r="S1499" s="46">
        <f>ТабПозиции[[#This Row],[totalSumm]]-ТабПозиции[[#This Row],[payment]]</f>
        <v>0</v>
      </c>
      <c r="T1499" s="18" t="s">
        <v>970</v>
      </c>
      <c r="U1499" s="40" t="s">
        <v>545</v>
      </c>
      <c r="V1499" s="40" t="str">
        <f>IF(AND(ТабПозиции[[#This Row],[Остаток]]=0,ТабПозиции[[#This Row],[Заказан]]="Да"),"Да","Нет")</f>
        <v>Да</v>
      </c>
      <c r="W1499" s="40" t="s">
        <v>545</v>
      </c>
      <c r="X1499" s="3"/>
      <c r="Y1499"/>
    </row>
    <row r="1500" spans="1:25" hidden="1" x14ac:dyDescent="0.25">
      <c r="A1500" s="10">
        <v>393</v>
      </c>
      <c r="B1500" s="1">
        <f>IFERROR(VLOOKUP(ТабПозиции[[#This Row],[orderNum]],ТабЗаказы[#Data],MATCH(B$7,ТабЗаказы[#Headers],0),0),"")</f>
        <v>45641</v>
      </c>
      <c r="C1500" t="str">
        <f>MONTH(ТабПозиции[[#This Row],[date]])&amp;"/"&amp;YEAR(ТабПозиции[[#This Row],[date]])</f>
        <v>12/2024</v>
      </c>
      <c r="D1500" s="1" t="str">
        <f>IFERROR(VLOOKUP(ТабПозиции[[#This Row],[orderNum]],ТабЗаказы[#Data],MATCH(D$7,ТабЗаказы[#Headers],0),0),"")</f>
        <v/>
      </c>
      <c r="E1500" s="1" t="str">
        <f>IFERROR(VLOOKUP(ТабПозиции[[#This Row],[orderNum]],ТабЗаказы[#Data],MATCH(E$7,ТабЗаказы[#Headers],0),0),"")</f>
        <v/>
      </c>
      <c r="F1500" s="16" t="s">
        <v>1631</v>
      </c>
      <c r="G1500" s="40" t="s">
        <v>545</v>
      </c>
      <c r="I1500" s="18">
        <v>45643</v>
      </c>
      <c r="J1500" s="10">
        <v>1</v>
      </c>
      <c r="K1500" s="10">
        <v>447</v>
      </c>
      <c r="L1500">
        <f>ТабПозиции[[#This Row],[discountPrice]]*ТабПозиции[[#This Row],[quantity]]</f>
        <v>447</v>
      </c>
      <c r="M1500" s="10">
        <v>471</v>
      </c>
      <c r="N1500">
        <f t="shared" si="28"/>
        <v>471</v>
      </c>
      <c r="P15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Row],[orderNum]],ТабПозиции[orderSumm])&gt;1500),ABS(N1500*VLOOKUP(ТабПозиции[[#This Row],[orderNum]],ТабЗаказы[#Data],MATCH("Percent",ТабЗаказы[#Headers],0),0))/100,200/COUNTIF(ТабПозиции[orderNum],ТабПозиции[[#This Row],[orderNum]])),0),"")</f>
        <v>71</v>
      </c>
      <c r="Q1500">
        <f>IF(OR(ТабПозиции[[#This Row],[item]]="По штрихкоду",ТабПозиции[[#This Row],[item]]="Посылка"),ТабПозиции[[#This Row],[deliverySumm]]+ТабПозиции[[#This Row],[deliveryPost]],SUM(N1500:P1500))</f>
        <v>542</v>
      </c>
      <c r="R1500" s="41">
        <v>542</v>
      </c>
      <c r="S1500" s="46">
        <f>ТабПозиции[[#This Row],[totalSumm]]-ТабПозиции[[#This Row],[payment]]</f>
        <v>0</v>
      </c>
      <c r="T1500" s="18" t="s">
        <v>970</v>
      </c>
      <c r="U1500" s="40" t="s">
        <v>545</v>
      </c>
      <c r="V1500" s="40" t="str">
        <f>IF(AND(ТабПозиции[[#This Row],[Остаток]]=0,ТабПозиции[[#This Row],[Заказан]]="Да"),"Да","Нет")</f>
        <v>Да</v>
      </c>
      <c r="W1500" s="40" t="s">
        <v>545</v>
      </c>
      <c r="X1500" s="3"/>
      <c r="Y1500"/>
    </row>
    <row r="1501" spans="1:25" hidden="1" x14ac:dyDescent="0.25">
      <c r="A1501" s="10">
        <v>393</v>
      </c>
      <c r="B1501" s="1">
        <f>IFERROR(VLOOKUP(ТабПозиции[[#This Row],[orderNum]],ТабЗаказы[#Data],MATCH(B$7,ТабЗаказы[#Headers],0),0),"")</f>
        <v>45641</v>
      </c>
      <c r="C1501" t="str">
        <f>MONTH(ТабПозиции[[#This Row],[date]])&amp;"/"&amp;YEAR(ТабПозиции[[#This Row],[date]])</f>
        <v>12/2024</v>
      </c>
      <c r="D1501" s="1" t="str">
        <f>IFERROR(VLOOKUP(ТабПозиции[[#This Row],[orderNum]],ТабЗаказы[#Data],MATCH(D$7,ТабЗаказы[#Headers],0),0),"")</f>
        <v/>
      </c>
      <c r="E1501" s="1" t="str">
        <f>IFERROR(VLOOKUP(ТабПозиции[[#This Row],[orderNum]],ТабЗаказы[#Data],MATCH(E$7,ТабЗаказы[#Headers],0),0),"")</f>
        <v/>
      </c>
      <c r="F1501" s="16" t="s">
        <v>2021</v>
      </c>
      <c r="G1501" s="40" t="s">
        <v>545</v>
      </c>
      <c r="I1501" s="18">
        <v>45646</v>
      </c>
      <c r="J1501" s="10">
        <v>1</v>
      </c>
      <c r="K1501" s="10">
        <v>1209</v>
      </c>
      <c r="L1501">
        <f>ТабПозиции[[#This Row],[discountPrice]]*ТабПозиции[[#This Row],[quantity]]</f>
        <v>1209</v>
      </c>
      <c r="M1501" s="10">
        <v>1273</v>
      </c>
      <c r="N1501">
        <f t="shared" si="28"/>
        <v>1273</v>
      </c>
      <c r="P15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Row],[orderNum]],ТабПозиции[orderSumm])&gt;1500),ABS(N1501*VLOOKUP(ТабПозиции[[#This Row],[orderNum]],ТабЗаказы[#Data],MATCH("Percent",ТабЗаказы[#Headers],0),0))/100,200/COUNTIF(ТабПозиции[orderNum],ТабПозиции[[#This Row],[orderNum]])),0),"")</f>
        <v>191</v>
      </c>
      <c r="Q1501">
        <f>IF(OR(ТабПозиции[[#This Row],[item]]="По штрихкоду",ТабПозиции[[#This Row],[item]]="Посылка"),ТабПозиции[[#This Row],[deliverySumm]]+ТабПозиции[[#This Row],[deliveryPost]],SUM(N1501:P1501))</f>
        <v>1464</v>
      </c>
      <c r="R1501" s="41">
        <v>1464</v>
      </c>
      <c r="S1501" s="46">
        <f>ТабПозиции[[#This Row],[totalSumm]]-ТабПозиции[[#This Row],[payment]]</f>
        <v>0</v>
      </c>
      <c r="T1501" s="18" t="s">
        <v>970</v>
      </c>
      <c r="U1501" s="40" t="s">
        <v>545</v>
      </c>
      <c r="V1501" s="40" t="str">
        <f>IF(AND(ТабПозиции[[#This Row],[Остаток]]=0,ТабПозиции[[#This Row],[Заказан]]="Да"),"Да","Нет")</f>
        <v>Да</v>
      </c>
      <c r="W1501" s="40" t="s">
        <v>545</v>
      </c>
      <c r="X1501" s="3"/>
      <c r="Y1501"/>
    </row>
    <row r="1502" spans="1:25" hidden="1" x14ac:dyDescent="0.25">
      <c r="A1502" s="10">
        <v>394</v>
      </c>
      <c r="B1502" s="1">
        <f>IFERROR(VLOOKUP(ТабПозиции[[#This Row],[orderNum]],ТабЗаказы[#Data],MATCH(B$7,ТабЗаказы[#Headers],0),0),"")</f>
        <v>45641</v>
      </c>
      <c r="C1502" t="str">
        <f>MONTH(ТабПозиции[[#This Row],[date]])&amp;"/"&amp;YEAR(ТабПозиции[[#This Row],[date]])</f>
        <v>12/2024</v>
      </c>
      <c r="D1502" s="1" t="str">
        <f>IFERROR(VLOOKUP(ТабПозиции[[#This Row],[orderNum]],ТабЗаказы[#Data],MATCH(D$7,ТабЗаказы[#Headers],0),0),"")</f>
        <v/>
      </c>
      <c r="E1502" s="1" t="str">
        <f>IFERROR(VLOOKUP(ТабПозиции[[#This Row],[orderNum]],ТабЗаказы[#Data],MATCH(E$7,ТабЗаказы[#Headers],0),0),"")</f>
        <v/>
      </c>
      <c r="F1502" s="16" t="s">
        <v>2022</v>
      </c>
      <c r="G1502" s="40" t="s">
        <v>545</v>
      </c>
      <c r="I1502" s="18">
        <v>45648</v>
      </c>
      <c r="J1502" s="10">
        <v>2</v>
      </c>
      <c r="K1502" s="10">
        <v>1735</v>
      </c>
      <c r="L1502">
        <f>ТабПозиции[[#This Row],[discountPrice]]*ТабПозиции[[#This Row],[quantity]]</f>
        <v>3470</v>
      </c>
      <c r="M1502" s="10">
        <v>1863</v>
      </c>
      <c r="N1502">
        <f t="shared" si="28"/>
        <v>3726</v>
      </c>
      <c r="P15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Row],[orderNum]],ТабПозиции[orderSumm])&gt;1500),ABS(N1502*VLOOKUP(ТабПозиции[[#This Row],[orderNum]],ТабЗаказы[#Data],MATCH("Percent",ТабЗаказы[#Headers],0),0))/100,200/COUNTIF(ТабПозиции[orderNum],ТабПозиции[[#This Row],[orderNum]])),0),"")</f>
        <v>559</v>
      </c>
      <c r="Q1502">
        <f>IF(OR(ТабПозиции[[#This Row],[item]]="По штрихкоду",ТабПозиции[[#This Row],[item]]="Посылка"),ТабПозиции[[#This Row],[deliverySumm]]+ТабПозиции[[#This Row],[deliveryPost]],SUM(N1502:P1502))</f>
        <v>4285</v>
      </c>
      <c r="R1502" s="41">
        <v>4285</v>
      </c>
      <c r="S1502" s="46">
        <f>ТабПозиции[[#This Row],[totalSumm]]-ТабПозиции[[#This Row],[payment]]</f>
        <v>0</v>
      </c>
      <c r="T1502" s="18" t="s">
        <v>960</v>
      </c>
      <c r="U1502" s="40" t="s">
        <v>545</v>
      </c>
      <c r="V1502" s="40" t="str">
        <f>IF(AND(ТабПозиции[[#This Row],[Остаток]]=0,ТабПозиции[[#This Row],[Заказан]]="Да"),"Да","Нет")</f>
        <v>Да</v>
      </c>
      <c r="W1502" s="40" t="s">
        <v>545</v>
      </c>
      <c r="X1502" s="3"/>
      <c r="Y1502"/>
    </row>
    <row r="1503" spans="1:25" hidden="1" x14ac:dyDescent="0.25">
      <c r="A1503" s="10">
        <v>395</v>
      </c>
      <c r="B1503" s="1">
        <f>IFERROR(VLOOKUP(ТабПозиции[[#This Row],[orderNum]],ТабЗаказы[#Data],MATCH(B$7,ТабЗаказы[#Headers],0),0),"")</f>
        <v>45642</v>
      </c>
      <c r="C1503" t="str">
        <f>MONTH(ТабПозиции[[#This Row],[date]])&amp;"/"&amp;YEAR(ТабПозиции[[#This Row],[date]])</f>
        <v>12/2024</v>
      </c>
      <c r="D1503" s="1" t="str">
        <f>IFERROR(VLOOKUP(ТабПозиции[[#This Row],[orderNum]],ТабЗаказы[#Data],MATCH(D$7,ТабЗаказы[#Headers],0),0),"")</f>
        <v/>
      </c>
      <c r="E1503" s="1" t="str">
        <f>IFERROR(VLOOKUP(ТабПозиции[[#This Row],[orderNum]],ТабЗаказы[#Data],MATCH(E$7,ТабЗаказы[#Headers],0),0),"")</f>
        <v/>
      </c>
      <c r="F1503" s="16" t="s">
        <v>2023</v>
      </c>
      <c r="G1503" s="40" t="s">
        <v>545</v>
      </c>
      <c r="I1503" s="18">
        <v>45645</v>
      </c>
      <c r="J1503" s="10">
        <v>1</v>
      </c>
      <c r="K1503" s="10">
        <v>481</v>
      </c>
      <c r="L1503">
        <f>ТабПозиции[[#This Row],[discountPrice]]*ТабПозиции[[#This Row],[quantity]]</f>
        <v>481</v>
      </c>
      <c r="M1503" s="10">
        <v>507</v>
      </c>
      <c r="N1503">
        <f t="shared" si="28"/>
        <v>507</v>
      </c>
      <c r="P15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Row],[orderNum]],ТабПозиции[orderSumm])&gt;1500),ABS(N1503*VLOOKUP(ТабПозиции[[#This Row],[orderNum]],ТабЗаказы[#Data],MATCH("Percent",ТабЗаказы[#Headers],0),0))/100,200/COUNTIF(ТабПозиции[orderNum],ТабПозиции[[#This Row],[orderNum]])),0),"")</f>
        <v>51</v>
      </c>
      <c r="Q1503">
        <f>IF(OR(ТабПозиции[[#This Row],[item]]="По штрихкоду",ТабПозиции[[#This Row],[item]]="Посылка"),ТабПозиции[[#This Row],[deliverySumm]]+ТабПозиции[[#This Row],[deliveryPost]],SUM(N1503:P1503))</f>
        <v>558</v>
      </c>
      <c r="R1503" s="41">
        <v>558</v>
      </c>
      <c r="S1503" s="46">
        <f>ТабПозиции[[#This Row],[totalSumm]]-ТабПозиции[[#This Row],[payment]]</f>
        <v>0</v>
      </c>
      <c r="T1503" s="18" t="s">
        <v>970</v>
      </c>
      <c r="U1503" s="40" t="s">
        <v>545</v>
      </c>
      <c r="V1503" s="40" t="str">
        <f>IF(AND(ТабПозиции[[#This Row],[Остаток]]=0,ТабПозиции[[#This Row],[Заказан]]="Да"),"Да","Нет")</f>
        <v>Да</v>
      </c>
      <c r="W1503" s="40" t="s">
        <v>545</v>
      </c>
      <c r="X1503" s="3"/>
      <c r="Y1503"/>
    </row>
    <row r="1504" spans="1:25" hidden="1" x14ac:dyDescent="0.25">
      <c r="A1504" s="10">
        <v>395</v>
      </c>
      <c r="B1504" s="1">
        <f>IFERROR(VLOOKUP(ТабПозиции[[#This Row],[orderNum]],ТабЗаказы[#Data],MATCH(B$7,ТабЗаказы[#Headers],0),0),"")</f>
        <v>45642</v>
      </c>
      <c r="C1504" t="str">
        <f>MONTH(ТабПозиции[[#This Row],[date]])&amp;"/"&amp;YEAR(ТабПозиции[[#This Row],[date]])</f>
        <v>12/2024</v>
      </c>
      <c r="D1504" s="1" t="str">
        <f>IFERROR(VLOOKUP(ТабПозиции[[#This Row],[orderNum]],ТабЗаказы[#Data],MATCH(D$7,ТабЗаказы[#Headers],0),0),"")</f>
        <v/>
      </c>
      <c r="E1504" s="1" t="str">
        <f>IFERROR(VLOOKUP(ТабПозиции[[#This Row],[orderNum]],ТабЗаказы[#Data],MATCH(E$7,ТабЗаказы[#Headers],0),0),"")</f>
        <v/>
      </c>
      <c r="F1504" s="16" t="s">
        <v>2024</v>
      </c>
      <c r="G1504" s="40" t="s">
        <v>545</v>
      </c>
      <c r="I1504" s="18">
        <v>45647</v>
      </c>
      <c r="J1504" s="10">
        <v>1</v>
      </c>
      <c r="K1504" s="10">
        <v>1282</v>
      </c>
      <c r="L1504">
        <f>ТабПозиции[[#This Row],[discountPrice]]*ТабПозиции[[#This Row],[quantity]]</f>
        <v>1282</v>
      </c>
      <c r="M1504" s="10">
        <v>1350</v>
      </c>
      <c r="N1504">
        <f t="shared" si="28"/>
        <v>1350</v>
      </c>
      <c r="P15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Row],[orderNum]],ТабПозиции[orderSumm])&gt;1500),ABS(N1504*VLOOKUP(ТабПозиции[[#This Row],[orderNum]],ТабЗаказы[#Data],MATCH("Percent",ТабЗаказы[#Headers],0),0))/100,200/COUNTIF(ТабПозиции[orderNum],ТабПозиции[[#This Row],[orderNum]])),0),"")</f>
        <v>135</v>
      </c>
      <c r="Q1504">
        <f>IF(OR(ТабПозиции[[#This Row],[item]]="По штрихкоду",ТабПозиции[[#This Row],[item]]="Посылка"),ТабПозиции[[#This Row],[deliverySumm]]+ТабПозиции[[#This Row],[deliveryPost]],SUM(N1504:P1504))</f>
        <v>1485</v>
      </c>
      <c r="R1504" s="41">
        <v>1485</v>
      </c>
      <c r="S1504" s="46">
        <f>ТабПозиции[[#This Row],[totalSumm]]-ТабПозиции[[#This Row],[payment]]</f>
        <v>0</v>
      </c>
      <c r="T1504" s="18" t="s">
        <v>970</v>
      </c>
      <c r="U1504" s="40" t="s">
        <v>545</v>
      </c>
      <c r="V1504" s="40" t="str">
        <f>IF(AND(ТабПозиции[[#This Row],[Остаток]]=0,ТабПозиции[[#This Row],[Заказан]]="Да"),"Да","Нет")</f>
        <v>Да</v>
      </c>
      <c r="W1504" s="40" t="s">
        <v>545</v>
      </c>
      <c r="X1504" s="3"/>
      <c r="Y1504"/>
    </row>
    <row r="1505" spans="1:25" hidden="1" x14ac:dyDescent="0.25">
      <c r="A1505" s="10">
        <v>395</v>
      </c>
      <c r="B1505" s="1">
        <f>IFERROR(VLOOKUP(ТабПозиции[[#This Row],[orderNum]],ТабЗаказы[#Data],MATCH(B$7,ТабЗаказы[#Headers],0),0),"")</f>
        <v>45642</v>
      </c>
      <c r="C1505" t="str">
        <f>MONTH(ТабПозиции[[#This Row],[date]])&amp;"/"&amp;YEAR(ТабПозиции[[#This Row],[date]])</f>
        <v>12/2024</v>
      </c>
      <c r="D1505" s="1" t="str">
        <f>IFERROR(VLOOKUP(ТабПозиции[[#This Row],[orderNum]],ТабЗаказы[#Data],MATCH(D$7,ТабЗаказы[#Headers],0),0),"")</f>
        <v/>
      </c>
      <c r="E1505" s="1" t="str">
        <f>IFERROR(VLOOKUP(ТабПозиции[[#This Row],[orderNum]],ТабЗаказы[#Data],MATCH(E$7,ТабЗаказы[#Headers],0),0),"")</f>
        <v/>
      </c>
      <c r="F1505" s="16" t="s">
        <v>2025</v>
      </c>
      <c r="G1505" s="40" t="s">
        <v>545</v>
      </c>
      <c r="I1505" s="18">
        <v>45644</v>
      </c>
      <c r="J1505" s="10">
        <v>1</v>
      </c>
      <c r="K1505" s="10">
        <v>732</v>
      </c>
      <c r="L1505">
        <f>ТабПозиции[[#This Row],[discountPrice]]*ТабПозиции[[#This Row],[quantity]]</f>
        <v>732</v>
      </c>
      <c r="M1505" s="10">
        <v>771</v>
      </c>
      <c r="N1505">
        <f t="shared" si="28"/>
        <v>771</v>
      </c>
      <c r="P15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Row],[orderNum]],ТабПозиции[orderSumm])&gt;1500),ABS(N1505*VLOOKUP(ТабПозиции[[#This Row],[orderNum]],ТабЗаказы[#Data],MATCH("Percent",ТабЗаказы[#Headers],0),0))/100,200/COUNTIF(ТабПозиции[orderNum],ТабПозиции[[#This Row],[orderNum]])),0),"")</f>
        <v>77</v>
      </c>
      <c r="Q1505">
        <f>IF(OR(ТабПозиции[[#This Row],[item]]="По штрихкоду",ТабПозиции[[#This Row],[item]]="Посылка"),ТабПозиции[[#This Row],[deliverySumm]]+ТабПозиции[[#This Row],[deliveryPost]],SUM(N1505:P1505))</f>
        <v>848</v>
      </c>
      <c r="R1505" s="41">
        <v>848</v>
      </c>
      <c r="S1505" s="46">
        <f>ТабПозиции[[#This Row],[totalSumm]]-ТабПозиции[[#This Row],[payment]]</f>
        <v>0</v>
      </c>
      <c r="T1505" s="18" t="s">
        <v>970</v>
      </c>
      <c r="U1505" s="40" t="s">
        <v>545</v>
      </c>
      <c r="V1505" s="40" t="str">
        <f>IF(AND(ТабПозиции[[#This Row],[Остаток]]=0,ТабПозиции[[#This Row],[Заказан]]="Да"),"Да","Нет")</f>
        <v>Да</v>
      </c>
      <c r="W1505" s="40" t="s">
        <v>545</v>
      </c>
      <c r="X1505" s="3"/>
      <c r="Y1505"/>
    </row>
    <row r="1506" spans="1:25" hidden="1" x14ac:dyDescent="0.25">
      <c r="A1506" s="10">
        <v>395</v>
      </c>
      <c r="B1506" s="1">
        <f>IFERROR(VLOOKUP(ТабПозиции[[#This Row],[orderNum]],ТабЗаказы[#Data],MATCH(B$7,ТабЗаказы[#Headers],0),0),"")</f>
        <v>45642</v>
      </c>
      <c r="C1506" t="str">
        <f>MONTH(ТабПозиции[[#This Row],[date]])&amp;"/"&amp;YEAR(ТабПозиции[[#This Row],[date]])</f>
        <v>12/2024</v>
      </c>
      <c r="D1506" s="1" t="str">
        <f>IFERROR(VLOOKUP(ТабПозиции[[#This Row],[orderNum]],ТабЗаказы[#Data],MATCH(D$7,ТабЗаказы[#Headers],0),0),"")</f>
        <v/>
      </c>
      <c r="E1506" s="1" t="str">
        <f>IFERROR(VLOOKUP(ТабПозиции[[#This Row],[orderNum]],ТабЗаказы[#Data],MATCH(E$7,ТабЗаказы[#Headers],0),0),"")</f>
        <v/>
      </c>
      <c r="F1506" s="16" t="s">
        <v>2025</v>
      </c>
      <c r="G1506" s="40" t="s">
        <v>545</v>
      </c>
      <c r="I1506" s="18">
        <v>45644</v>
      </c>
      <c r="J1506" s="10">
        <v>1</v>
      </c>
      <c r="K1506" s="10">
        <v>802</v>
      </c>
      <c r="L1506">
        <f>ТабПозиции[[#This Row],[discountPrice]]*ТабПозиции[[#This Row],[quantity]]</f>
        <v>802</v>
      </c>
      <c r="M1506" s="10">
        <v>845</v>
      </c>
      <c r="N1506">
        <f t="shared" si="28"/>
        <v>845</v>
      </c>
      <c r="P15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Row],[orderNum]],ТабПозиции[orderSumm])&gt;1500),ABS(N1506*VLOOKUP(ТабПозиции[[#This Row],[orderNum]],ТабЗаказы[#Data],MATCH("Percent",ТабЗаказы[#Headers],0),0))/100,200/COUNTIF(ТабПозиции[orderNum],ТабПозиции[[#This Row],[orderNum]])),0),"")</f>
        <v>85</v>
      </c>
      <c r="Q1506">
        <f>IF(OR(ТабПозиции[[#This Row],[item]]="По штрихкоду",ТабПозиции[[#This Row],[item]]="Посылка"),ТабПозиции[[#This Row],[deliverySumm]]+ТабПозиции[[#This Row],[deliveryPost]],SUM(N1506:P1506))</f>
        <v>930</v>
      </c>
      <c r="R1506" s="41">
        <v>930</v>
      </c>
      <c r="S1506" s="46">
        <f>ТабПозиции[[#This Row],[totalSumm]]-ТабПозиции[[#This Row],[payment]]</f>
        <v>0</v>
      </c>
      <c r="T1506" s="18" t="s">
        <v>970</v>
      </c>
      <c r="U1506" s="40" t="s">
        <v>545</v>
      </c>
      <c r="V1506" s="40" t="str">
        <f>IF(AND(ТабПозиции[[#This Row],[Остаток]]=0,ТабПозиции[[#This Row],[Заказан]]="Да"),"Да","Нет")</f>
        <v>Да</v>
      </c>
      <c r="W1506" s="40" t="s">
        <v>545</v>
      </c>
      <c r="X1506" s="3"/>
      <c r="Y1506"/>
    </row>
    <row r="1507" spans="1:25" hidden="1" x14ac:dyDescent="0.25">
      <c r="A1507" s="10">
        <v>396</v>
      </c>
      <c r="B1507" s="1">
        <f>IFERROR(VLOOKUP(ТабПозиции[[#This Row],[orderNum]],ТабЗаказы[#Data],MATCH(B$7,ТабЗаказы[#Headers],0),0),"")</f>
        <v>45642</v>
      </c>
      <c r="C1507" t="str">
        <f>MONTH(ТабПозиции[[#This Row],[date]])&amp;"/"&amp;YEAR(ТабПозиции[[#This Row],[date]])</f>
        <v>12/2024</v>
      </c>
      <c r="D1507" s="1" t="str">
        <f>IFERROR(VLOOKUP(ТабПозиции[[#This Row],[orderNum]],ТабЗаказы[#Data],MATCH(D$7,ТабЗаказы[#Headers],0),0),"")</f>
        <v/>
      </c>
      <c r="E1507" s="1" t="str">
        <f>IFERROR(VLOOKUP(ТабПозиции[[#This Row],[orderNum]],ТабЗаказы[#Data],MATCH(E$7,ТабЗаказы[#Headers],0),0),"")</f>
        <v/>
      </c>
      <c r="F1507" s="16" t="s">
        <v>2026</v>
      </c>
      <c r="G1507" s="40" t="s">
        <v>545</v>
      </c>
      <c r="I1507" s="18">
        <v>45645</v>
      </c>
      <c r="J1507" s="10">
        <v>1</v>
      </c>
      <c r="K1507" s="10">
        <v>779</v>
      </c>
      <c r="L1507">
        <f>ТабПозиции[[#This Row],[discountPrice]]*ТабПозиции[[#This Row],[quantity]]</f>
        <v>779</v>
      </c>
      <c r="M1507" s="10">
        <v>820</v>
      </c>
      <c r="N1507">
        <f t="shared" si="28"/>
        <v>820</v>
      </c>
      <c r="P15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Row],[orderNum]],ТабПозиции[orderSumm])&gt;1500),ABS(N1507*VLOOKUP(ТабПозиции[[#This Row],[orderNum]],ТабЗаказы[#Data],MATCH("Percent",ТабЗаказы[#Headers],0),0))/100,200/COUNTIF(ТабПозиции[orderNum],ТабПозиции[[#This Row],[orderNum]])),0),"")</f>
        <v>123</v>
      </c>
      <c r="Q1507">
        <f>IF(OR(ТабПозиции[[#This Row],[item]]="По штрихкоду",ТабПозиции[[#This Row],[item]]="Посылка"),ТабПозиции[[#This Row],[deliverySumm]]+ТабПозиции[[#This Row],[deliveryPost]],SUM(N1507:P1507))</f>
        <v>943</v>
      </c>
      <c r="R1507" s="41">
        <v>943</v>
      </c>
      <c r="S1507" s="46">
        <f>ТабПозиции[[#This Row],[totalSumm]]-ТабПозиции[[#This Row],[payment]]</f>
        <v>0</v>
      </c>
      <c r="T1507" s="18" t="s">
        <v>970</v>
      </c>
      <c r="U1507" s="40" t="s">
        <v>545</v>
      </c>
      <c r="V1507" s="40" t="str">
        <f>IF(AND(ТабПозиции[[#This Row],[Остаток]]=0,ТабПозиции[[#This Row],[Заказан]]="Да"),"Да","Нет")</f>
        <v>Да</v>
      </c>
      <c r="W1507" s="40" t="s">
        <v>545</v>
      </c>
      <c r="X1507" s="3"/>
      <c r="Y1507"/>
    </row>
    <row r="1508" spans="1:25" hidden="1" x14ac:dyDescent="0.25">
      <c r="A1508" s="10">
        <v>396</v>
      </c>
      <c r="B1508" s="1">
        <f>IFERROR(VLOOKUP(ТабПозиции[[#This Row],[orderNum]],ТабЗаказы[#Data],MATCH(B$7,ТабЗаказы[#Headers],0),0),"")</f>
        <v>45642</v>
      </c>
      <c r="C1508" t="str">
        <f>MONTH(ТабПозиции[[#This Row],[date]])&amp;"/"&amp;YEAR(ТабПозиции[[#This Row],[date]])</f>
        <v>12/2024</v>
      </c>
      <c r="D1508" s="1" t="str">
        <f>IFERROR(VLOOKUP(ТабПозиции[[#This Row],[orderNum]],ТабЗаказы[#Data],MATCH(D$7,ТабЗаказы[#Headers],0),0),"")</f>
        <v/>
      </c>
      <c r="E1508" s="1" t="str">
        <f>IFERROR(VLOOKUP(ТабПозиции[[#This Row],[orderNum]],ТабЗаказы[#Data],MATCH(E$7,ТабЗаказы[#Headers],0),0),"")</f>
        <v/>
      </c>
      <c r="F1508" s="16" t="s">
        <v>2027</v>
      </c>
      <c r="G1508" s="40" t="s">
        <v>545</v>
      </c>
      <c r="I1508" s="18">
        <v>45646</v>
      </c>
      <c r="J1508" s="10">
        <v>1</v>
      </c>
      <c r="K1508" s="10">
        <v>355</v>
      </c>
      <c r="L1508">
        <f>ТабПозиции[[#This Row],[discountPrice]]*ТабПозиции[[#This Row],[quantity]]</f>
        <v>355</v>
      </c>
      <c r="M1508" s="10">
        <v>374</v>
      </c>
      <c r="N1508">
        <f t="shared" si="28"/>
        <v>374</v>
      </c>
      <c r="P15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Row],[orderNum]],ТабПозиции[orderSumm])&gt;1500),ABS(N1508*VLOOKUP(ТабПозиции[[#This Row],[orderNum]],ТабЗаказы[#Data],MATCH("Percent",ТабЗаказы[#Headers],0),0))/100,200/COUNTIF(ТабПозиции[orderNum],ТабПозиции[[#This Row],[orderNum]])),0),"")</f>
        <v>56</v>
      </c>
      <c r="Q1508">
        <f>IF(OR(ТабПозиции[[#This Row],[item]]="По штрихкоду",ТабПозиции[[#This Row],[item]]="Посылка"),ТабПозиции[[#This Row],[deliverySumm]]+ТабПозиции[[#This Row],[deliveryPost]],SUM(N1508:P1508))</f>
        <v>430</v>
      </c>
      <c r="R1508" s="41">
        <v>430</v>
      </c>
      <c r="S1508" s="46">
        <f>ТабПозиции[[#This Row],[totalSumm]]-ТабПозиции[[#This Row],[payment]]</f>
        <v>0</v>
      </c>
      <c r="T1508" s="18" t="s">
        <v>970</v>
      </c>
      <c r="U1508" s="40" t="s">
        <v>545</v>
      </c>
      <c r="V1508" s="40" t="str">
        <f>IF(AND(ТабПозиции[[#This Row],[Остаток]]=0,ТабПозиции[[#This Row],[Заказан]]="Да"),"Да","Нет")</f>
        <v>Да</v>
      </c>
      <c r="W1508" s="40" t="s">
        <v>545</v>
      </c>
      <c r="X1508" s="3"/>
      <c r="Y1508"/>
    </row>
    <row r="1509" spans="1:25" hidden="1" x14ac:dyDescent="0.25">
      <c r="A1509" s="10">
        <v>396</v>
      </c>
      <c r="B1509" s="1">
        <f>IFERROR(VLOOKUP(ТабПозиции[[#This Row],[orderNum]],ТабЗаказы[#Data],MATCH(B$7,ТабЗаказы[#Headers],0),0),"")</f>
        <v>45642</v>
      </c>
      <c r="C1509" t="str">
        <f>MONTH(ТабПозиции[[#This Row],[date]])&amp;"/"&amp;YEAR(ТабПозиции[[#This Row],[date]])</f>
        <v>12/2024</v>
      </c>
      <c r="D1509" s="1" t="str">
        <f>IFERROR(VLOOKUP(ТабПозиции[[#This Row],[orderNum]],ТабЗаказы[#Data],MATCH(D$7,ТабЗаказы[#Headers],0),0),"")</f>
        <v/>
      </c>
      <c r="E1509" s="1" t="str">
        <f>IFERROR(VLOOKUP(ТабПозиции[[#This Row],[orderNum]],ТабЗаказы[#Data],MATCH(E$7,ТабЗаказы[#Headers],0),0),"")</f>
        <v/>
      </c>
      <c r="F1509" s="16" t="s">
        <v>2028</v>
      </c>
      <c r="G1509" s="40" t="s">
        <v>545</v>
      </c>
      <c r="I1509" s="18">
        <v>45648</v>
      </c>
      <c r="J1509" s="10">
        <v>1</v>
      </c>
      <c r="K1509" s="10">
        <v>381</v>
      </c>
      <c r="L1509">
        <f>ТабПозиции[[#This Row],[discountPrice]]*ТабПозиции[[#This Row],[quantity]]</f>
        <v>381</v>
      </c>
      <c r="M1509" s="10">
        <v>402</v>
      </c>
      <c r="N1509">
        <f t="shared" si="28"/>
        <v>402</v>
      </c>
      <c r="P15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Row],[orderNum]],ТабПозиции[orderSumm])&gt;1500),ABS(N1509*VLOOKUP(ТабПозиции[[#This Row],[orderNum]],ТабЗаказы[#Data],MATCH("Percent",ТабЗаказы[#Headers],0),0))/100,200/COUNTIF(ТабПозиции[orderNum],ТабПозиции[[#This Row],[orderNum]])),0),"")</f>
        <v>60</v>
      </c>
      <c r="Q1509">
        <f>IF(OR(ТабПозиции[[#This Row],[item]]="По штрихкоду",ТабПозиции[[#This Row],[item]]="Посылка"),ТабПозиции[[#This Row],[deliverySumm]]+ТабПозиции[[#This Row],[deliveryPost]],SUM(N1509:P1509))</f>
        <v>462</v>
      </c>
      <c r="R1509" s="41">
        <v>462</v>
      </c>
      <c r="S1509" s="46">
        <f>ТабПозиции[[#This Row],[totalSumm]]-ТабПозиции[[#This Row],[payment]]</f>
        <v>0</v>
      </c>
      <c r="T1509" s="18" t="s">
        <v>970</v>
      </c>
      <c r="U1509" s="40" t="s">
        <v>545</v>
      </c>
      <c r="V1509" s="40" t="str">
        <f>IF(AND(ТабПозиции[[#This Row],[Остаток]]=0,ТабПозиции[[#This Row],[Заказан]]="Да"),"Да","Нет")</f>
        <v>Да</v>
      </c>
      <c r="W1509" s="40" t="s">
        <v>545</v>
      </c>
      <c r="X1509" s="3"/>
      <c r="Y1509"/>
    </row>
    <row r="1510" spans="1:25" hidden="1" x14ac:dyDescent="0.25">
      <c r="A1510" s="10">
        <v>396</v>
      </c>
      <c r="B1510" s="1">
        <f>IFERROR(VLOOKUP(ТабПозиции[[#This Row],[orderNum]],ТабЗаказы[#Data],MATCH(B$7,ТабЗаказы[#Headers],0),0),"")</f>
        <v>45642</v>
      </c>
      <c r="C1510" t="str">
        <f>MONTH(ТабПозиции[[#This Row],[date]])&amp;"/"&amp;YEAR(ТабПозиции[[#This Row],[date]])</f>
        <v>12/2024</v>
      </c>
      <c r="D1510" s="1" t="str">
        <f>IFERROR(VLOOKUP(ТабПозиции[[#This Row],[orderNum]],ТабЗаказы[#Data],MATCH(D$7,ТабЗаказы[#Headers],0),0),"")</f>
        <v/>
      </c>
      <c r="E1510" s="1" t="str">
        <f>IFERROR(VLOOKUP(ТабПозиции[[#This Row],[orderNum]],ТабЗаказы[#Data],MATCH(E$7,ТабЗаказы[#Headers],0),0),"")</f>
        <v/>
      </c>
      <c r="F1510" s="16" t="s">
        <v>2029</v>
      </c>
      <c r="G1510" s="40" t="s">
        <v>545</v>
      </c>
      <c r="I1510" s="18">
        <v>45648</v>
      </c>
      <c r="J1510" s="10">
        <v>1</v>
      </c>
      <c r="K1510" s="10">
        <v>381</v>
      </c>
      <c r="L1510">
        <f>ТабПозиции[[#This Row],[discountPrice]]*ТабПозиции[[#This Row],[quantity]]</f>
        <v>381</v>
      </c>
      <c r="M1510" s="10">
        <v>402</v>
      </c>
      <c r="N1510">
        <f t="shared" si="28"/>
        <v>402</v>
      </c>
      <c r="P15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Row],[orderNum]],ТабПозиции[orderSumm])&gt;1500),ABS(N1510*VLOOKUP(ТабПозиции[[#This Row],[orderNum]],ТабЗаказы[#Data],MATCH("Percent",ТабЗаказы[#Headers],0),0))/100,200/COUNTIF(ТабПозиции[orderNum],ТабПозиции[[#This Row],[orderNum]])),0),"")</f>
        <v>60</v>
      </c>
      <c r="Q1510">
        <f>IF(OR(ТабПозиции[[#This Row],[item]]="По штрихкоду",ТабПозиции[[#This Row],[item]]="Посылка"),ТабПозиции[[#This Row],[deliverySumm]]+ТабПозиции[[#This Row],[deliveryPost]],SUM(N1510:P1510))</f>
        <v>462</v>
      </c>
      <c r="R1510" s="41">
        <v>462</v>
      </c>
      <c r="S1510" s="46">
        <f>ТабПозиции[[#This Row],[totalSumm]]-ТабПозиции[[#This Row],[payment]]</f>
        <v>0</v>
      </c>
      <c r="T1510" s="18" t="s">
        <v>970</v>
      </c>
      <c r="U1510" s="40" t="s">
        <v>545</v>
      </c>
      <c r="V1510" s="40" t="str">
        <f>IF(AND(ТабПозиции[[#This Row],[Остаток]]=0,ТабПозиции[[#This Row],[Заказан]]="Да"),"Да","Нет")</f>
        <v>Да</v>
      </c>
      <c r="W1510" s="40" t="s">
        <v>545</v>
      </c>
      <c r="X1510" s="3"/>
      <c r="Y1510"/>
    </row>
    <row r="1511" spans="1:25" hidden="1" x14ac:dyDescent="0.25">
      <c r="A1511" s="10">
        <v>396</v>
      </c>
      <c r="B1511" s="1">
        <f>IFERROR(VLOOKUP(ТабПозиции[[#This Row],[orderNum]],ТабЗаказы[#Data],MATCH(B$7,ТабЗаказы[#Headers],0),0),"")</f>
        <v>45642</v>
      </c>
      <c r="C1511" t="str">
        <f>MONTH(ТабПозиции[[#This Row],[date]])&amp;"/"&amp;YEAR(ТабПозиции[[#This Row],[date]])</f>
        <v>12/2024</v>
      </c>
      <c r="D1511" s="1" t="str">
        <f>IFERROR(VLOOKUP(ТабПозиции[[#This Row],[orderNum]],ТабЗаказы[#Data],MATCH(D$7,ТабЗаказы[#Headers],0),0),"")</f>
        <v/>
      </c>
      <c r="E1511" s="1" t="str">
        <f>IFERROR(VLOOKUP(ТабПозиции[[#This Row],[orderNum]],ТабЗаказы[#Data],MATCH(E$7,ТабЗаказы[#Headers],0),0),"")</f>
        <v/>
      </c>
      <c r="F1511" s="16" t="s">
        <v>2030</v>
      </c>
      <c r="G1511" s="40" t="s">
        <v>545</v>
      </c>
      <c r="I1511" s="18">
        <v>45644</v>
      </c>
      <c r="J1511" s="10">
        <v>1</v>
      </c>
      <c r="K1511" s="10">
        <v>210</v>
      </c>
      <c r="L1511">
        <f>ТабПозиции[[#This Row],[discountPrice]]*ТабПозиции[[#This Row],[quantity]]</f>
        <v>210</v>
      </c>
      <c r="M1511" s="10">
        <v>214</v>
      </c>
      <c r="N1511">
        <f t="shared" si="28"/>
        <v>214</v>
      </c>
      <c r="P15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Row],[orderNum]],ТабПозиции[orderSumm])&gt;1500),ABS(N1511*VLOOKUP(ТабПозиции[[#This Row],[orderNum]],ТабЗаказы[#Data],MATCH("Percent",ТабЗаказы[#Headers],0),0))/100,200/COUNTIF(ТабПозиции[orderNum],ТабПозиции[[#This Row],[orderNum]])),0),"")</f>
        <v>32</v>
      </c>
      <c r="Q1511">
        <f>IF(OR(ТабПозиции[[#This Row],[item]]="По штрихкоду",ТабПозиции[[#This Row],[item]]="Посылка"),ТабПозиции[[#This Row],[deliverySumm]]+ТабПозиции[[#This Row],[deliveryPost]],SUM(N1511:P1511))</f>
        <v>246</v>
      </c>
      <c r="R1511" s="41">
        <v>246</v>
      </c>
      <c r="S1511" s="46">
        <f>ТабПозиции[[#This Row],[totalSumm]]-ТабПозиции[[#This Row],[payment]]</f>
        <v>0</v>
      </c>
      <c r="T1511" s="18" t="s">
        <v>960</v>
      </c>
      <c r="U1511" s="40" t="s">
        <v>545</v>
      </c>
      <c r="V1511" s="40" t="str">
        <f>IF(AND(ТабПозиции[[#This Row],[Остаток]]=0,ТабПозиции[[#This Row],[Заказан]]="Да"),"Да","Нет")</f>
        <v>Да</v>
      </c>
      <c r="W1511" s="40" t="s">
        <v>545</v>
      </c>
      <c r="X1511" s="3"/>
      <c r="Y1511"/>
    </row>
    <row r="1512" spans="1:25" hidden="1" x14ac:dyDescent="0.25">
      <c r="A1512" s="10">
        <v>396</v>
      </c>
      <c r="B1512" s="1">
        <f>IFERROR(VLOOKUP(ТабПозиции[[#This Row],[orderNum]],ТабЗаказы[#Data],MATCH(B$7,ТабЗаказы[#Headers],0),0),"")</f>
        <v>45642</v>
      </c>
      <c r="C1512" t="str">
        <f>MONTH(ТабПозиции[[#This Row],[date]])&amp;"/"&amp;YEAR(ТабПозиции[[#This Row],[date]])</f>
        <v>12/2024</v>
      </c>
      <c r="D1512" s="1" t="str">
        <f>IFERROR(VLOOKUP(ТабПозиции[[#This Row],[orderNum]],ТабЗаказы[#Data],MATCH(D$7,ТабЗаказы[#Headers],0),0),"")</f>
        <v/>
      </c>
      <c r="E1512" s="1" t="str">
        <f>IFERROR(VLOOKUP(ТабПозиции[[#This Row],[orderNum]],ТабЗаказы[#Data],MATCH(E$7,ТабЗаказы[#Headers],0),0),"")</f>
        <v/>
      </c>
      <c r="F1512" s="16" t="s">
        <v>2031</v>
      </c>
      <c r="G1512" s="40" t="s">
        <v>545</v>
      </c>
      <c r="I1512" s="18">
        <v>45644</v>
      </c>
      <c r="J1512" s="10">
        <v>1</v>
      </c>
      <c r="K1512" s="10">
        <v>333</v>
      </c>
      <c r="L1512">
        <f>ТабПозиции[[#This Row],[discountPrice]]*ТабПозиции[[#This Row],[quantity]]</f>
        <v>333</v>
      </c>
      <c r="M1512" s="10">
        <v>351</v>
      </c>
      <c r="N1512">
        <f t="shared" si="28"/>
        <v>351</v>
      </c>
      <c r="P15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Row],[orderNum]],ТабПозиции[orderSumm])&gt;1500),ABS(N1512*VLOOKUP(ТабПозиции[[#This Row],[orderNum]],ТабЗаказы[#Data],MATCH("Percent",ТабЗаказы[#Headers],0),0))/100,200/COUNTIF(ТабПозиции[orderNum],ТабПозиции[[#This Row],[orderNum]])),0),"")</f>
        <v>53</v>
      </c>
      <c r="Q1512">
        <f>IF(OR(ТабПозиции[[#This Row],[item]]="По штрихкоду",ТабПозиции[[#This Row],[item]]="Посылка"),ТабПозиции[[#This Row],[deliverySumm]]+ТабПозиции[[#This Row],[deliveryPost]],SUM(N1512:P1512))</f>
        <v>404</v>
      </c>
      <c r="R1512" s="41">
        <v>404</v>
      </c>
      <c r="S1512" s="46">
        <f>ТабПозиции[[#This Row],[totalSumm]]-ТабПозиции[[#This Row],[payment]]</f>
        <v>0</v>
      </c>
      <c r="T1512" s="18" t="s">
        <v>970</v>
      </c>
      <c r="U1512" s="40" t="s">
        <v>545</v>
      </c>
      <c r="V1512" s="40" t="str">
        <f>IF(AND(ТабПозиции[[#This Row],[Остаток]]=0,ТабПозиции[[#This Row],[Заказан]]="Да"),"Да","Нет")</f>
        <v>Да</v>
      </c>
      <c r="W1512" s="40" t="s">
        <v>545</v>
      </c>
      <c r="X1512" s="3"/>
      <c r="Y1512"/>
    </row>
    <row r="1513" spans="1:25" hidden="1" x14ac:dyDescent="0.25">
      <c r="A1513" s="10">
        <v>397</v>
      </c>
      <c r="B1513" s="1">
        <f>IFERROR(VLOOKUP(ТабПозиции[[#This Row],[orderNum]],ТабЗаказы[#Data],MATCH(B$7,ТабЗаказы[#Headers],0),0),"")</f>
        <v>45644</v>
      </c>
      <c r="C1513" t="str">
        <f>MONTH(ТабПозиции[[#This Row],[date]])&amp;"/"&amp;YEAR(ТабПозиции[[#This Row],[date]])</f>
        <v>12/2024</v>
      </c>
      <c r="D1513" s="1" t="str">
        <f>IFERROR(VLOOKUP(ТабПозиции[[#This Row],[orderNum]],ТабЗаказы[#Data],MATCH(D$7,ТабЗаказы[#Headers],0),0),"")</f>
        <v/>
      </c>
      <c r="E1513" s="1" t="str">
        <f>IFERROR(VLOOKUP(ТабПозиции[[#This Row],[orderNum]],ТабЗаказы[#Data],MATCH(E$7,ТабЗаказы[#Headers],0),0),"")</f>
        <v/>
      </c>
      <c r="F1513" s="16" t="s">
        <v>2032</v>
      </c>
      <c r="G1513" s="40" t="s">
        <v>545</v>
      </c>
      <c r="I1513" s="18">
        <v>45649</v>
      </c>
      <c r="J1513" s="10">
        <v>1</v>
      </c>
      <c r="K1513" s="10">
        <v>230</v>
      </c>
      <c r="L1513">
        <f>ТабПозиции[[#This Row],[discountPrice]]*ТабПозиции[[#This Row],[quantity]]</f>
        <v>230</v>
      </c>
      <c r="M1513" s="10">
        <v>235</v>
      </c>
      <c r="N1513">
        <f t="shared" si="28"/>
        <v>235</v>
      </c>
      <c r="P15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Row],[orderNum]],ТабПозиции[orderSumm])&gt;1500),ABS(N1513*VLOOKUP(ТабПозиции[[#This Row],[orderNum]],ТабЗаказы[#Data],MATCH("Percent",ТабЗаказы[#Headers],0),0))/100,200/COUNTIF(ТабПозиции[orderNum],ТабПозиции[[#This Row],[orderNum]])),0),"")</f>
        <v>35</v>
      </c>
      <c r="Q1513">
        <f>IF(OR(ТабПозиции[[#This Row],[item]]="По штрихкоду",ТабПозиции[[#This Row],[item]]="Посылка"),ТабПозиции[[#This Row],[deliverySumm]]+ТабПозиции[[#This Row],[deliveryPost]],SUM(N1513:P1513))</f>
        <v>270</v>
      </c>
      <c r="R1513" s="41">
        <v>270</v>
      </c>
      <c r="S1513" s="46">
        <f>ТабПозиции[[#This Row],[totalSumm]]-ТабПозиции[[#This Row],[payment]]</f>
        <v>0</v>
      </c>
      <c r="T1513" s="18" t="s">
        <v>960</v>
      </c>
      <c r="U1513" s="40" t="s">
        <v>545</v>
      </c>
      <c r="V1513" s="40" t="str">
        <f>IF(AND(ТабПозиции[[#This Row],[Остаток]]=0,ТабПозиции[[#This Row],[Заказан]]="Да"),"Да","Нет")</f>
        <v>Да</v>
      </c>
      <c r="W1513" s="40" t="s">
        <v>545</v>
      </c>
      <c r="X1513" s="3"/>
      <c r="Y1513"/>
    </row>
    <row r="1514" spans="1:25" hidden="1" x14ac:dyDescent="0.25">
      <c r="A1514" s="10">
        <v>397</v>
      </c>
      <c r="B1514" s="1">
        <f>IFERROR(VLOOKUP(ТабПозиции[[#This Row],[orderNum]],ТабЗаказы[#Data],MATCH(B$7,ТабЗаказы[#Headers],0),0),"")</f>
        <v>45644</v>
      </c>
      <c r="C1514" t="str">
        <f>MONTH(ТабПозиции[[#This Row],[date]])&amp;"/"&amp;YEAR(ТабПозиции[[#This Row],[date]])</f>
        <v>12/2024</v>
      </c>
      <c r="D1514" s="1" t="str">
        <f>IFERROR(VLOOKUP(ТабПозиции[[#This Row],[orderNum]],ТабЗаказы[#Data],MATCH(D$7,ТабЗаказы[#Headers],0),0),"")</f>
        <v/>
      </c>
      <c r="E1514" s="1" t="str">
        <f>IFERROR(VLOOKUP(ТабПозиции[[#This Row],[orderNum]],ТабЗаказы[#Data],MATCH(E$7,ТабЗаказы[#Headers],0),0),"")</f>
        <v/>
      </c>
      <c r="F1514" s="16" t="s">
        <v>2033</v>
      </c>
      <c r="G1514" s="40" t="s">
        <v>545</v>
      </c>
      <c r="I1514" s="18">
        <v>45648</v>
      </c>
      <c r="J1514" s="10">
        <v>1</v>
      </c>
      <c r="K1514" s="10">
        <v>1339</v>
      </c>
      <c r="L1514">
        <f>ТабПозиции[[#This Row],[discountPrice]]*ТабПозиции[[#This Row],[quantity]]</f>
        <v>1339</v>
      </c>
      <c r="M1514" s="10">
        <v>1437</v>
      </c>
      <c r="N1514">
        <f t="shared" si="28"/>
        <v>1437</v>
      </c>
      <c r="P15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Row],[orderNum]],ТабПозиции[orderSumm])&gt;1500),ABS(N1514*VLOOKUP(ТабПозиции[[#This Row],[orderNum]],ТабЗаказы[#Data],MATCH("Percent",ТабЗаказы[#Headers],0),0))/100,200/COUNTIF(ТабПозиции[orderNum],ТабПозиции[[#This Row],[orderNum]])),0),"")</f>
        <v>216</v>
      </c>
      <c r="Q1514">
        <f>IF(OR(ТабПозиции[[#This Row],[item]]="По штрихкоду",ТабПозиции[[#This Row],[item]]="Посылка"),ТабПозиции[[#This Row],[deliverySumm]]+ТабПозиции[[#This Row],[deliveryPost]],SUM(N1514:P1514))</f>
        <v>1653</v>
      </c>
      <c r="R1514" s="41">
        <v>1653</v>
      </c>
      <c r="S1514" s="46">
        <f>ТабПозиции[[#This Row],[totalSumm]]-ТабПозиции[[#This Row],[payment]]</f>
        <v>0</v>
      </c>
      <c r="T1514" s="18" t="s">
        <v>960</v>
      </c>
      <c r="U1514" s="40" t="s">
        <v>545</v>
      </c>
      <c r="V1514" s="40" t="str">
        <f>IF(AND(ТабПозиции[[#This Row],[Остаток]]=0,ТабПозиции[[#This Row],[Заказан]]="Да"),"Да","Нет")</f>
        <v>Да</v>
      </c>
      <c r="W1514" s="40" t="s">
        <v>545</v>
      </c>
      <c r="X1514" s="3"/>
      <c r="Y1514"/>
    </row>
    <row r="1515" spans="1:25" hidden="1" x14ac:dyDescent="0.25">
      <c r="A1515" s="10">
        <v>397</v>
      </c>
      <c r="B1515" s="1">
        <f>IFERROR(VLOOKUP(ТабПозиции[[#This Row],[orderNum]],ТабЗаказы[#Data],MATCH(B$7,ТабЗаказы[#Headers],0),0),"")</f>
        <v>45644</v>
      </c>
      <c r="C1515" t="str">
        <f>MONTH(ТабПозиции[[#This Row],[date]])&amp;"/"&amp;YEAR(ТабПозиции[[#This Row],[date]])</f>
        <v>12/2024</v>
      </c>
      <c r="D1515" s="1" t="str">
        <f>IFERROR(VLOOKUP(ТабПозиции[[#This Row],[orderNum]],ТабЗаказы[#Data],MATCH(D$7,ТабЗаказы[#Headers],0),0),"")</f>
        <v/>
      </c>
      <c r="E1515" s="1" t="str">
        <f>IFERROR(VLOOKUP(ТабПозиции[[#This Row],[orderNum]],ТабЗаказы[#Data],MATCH(E$7,ТабЗаказы[#Headers],0),0),"")</f>
        <v/>
      </c>
      <c r="F1515" s="16" t="s">
        <v>2034</v>
      </c>
      <c r="G1515" s="40" t="s">
        <v>545</v>
      </c>
      <c r="I1515" s="18">
        <v>45646</v>
      </c>
      <c r="J1515" s="10">
        <v>1</v>
      </c>
      <c r="K1515" s="10">
        <v>541</v>
      </c>
      <c r="L1515">
        <f>ТабПозиции[[#This Row],[discountPrice]]*ТабПозиции[[#This Row],[quantity]]</f>
        <v>541</v>
      </c>
      <c r="M1515" s="10">
        <v>581</v>
      </c>
      <c r="N1515">
        <f t="shared" si="28"/>
        <v>581</v>
      </c>
      <c r="P15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Row],[orderNum]],ТабПозиции[orderSumm])&gt;1500),ABS(N1515*VLOOKUP(ТабПозиции[[#This Row],[orderNum]],ТабЗаказы[#Data],MATCH("Percent",ТабЗаказы[#Headers],0),0))/100,200/COUNTIF(ТабПозиции[orderNum],ТабПозиции[[#This Row],[orderNum]])),0),"")</f>
        <v>87</v>
      </c>
      <c r="Q1515">
        <f>IF(OR(ТабПозиции[[#This Row],[item]]="По штрихкоду",ТабПозиции[[#This Row],[item]]="Посылка"),ТабПозиции[[#This Row],[deliverySumm]]+ТабПозиции[[#This Row],[deliveryPost]],SUM(N1515:P1515))</f>
        <v>668</v>
      </c>
      <c r="R1515" s="41">
        <v>668</v>
      </c>
      <c r="S1515" s="46">
        <f>ТабПозиции[[#This Row],[totalSumm]]-ТабПозиции[[#This Row],[payment]]</f>
        <v>0</v>
      </c>
      <c r="T1515" s="18" t="s">
        <v>960</v>
      </c>
      <c r="U1515" s="40" t="s">
        <v>545</v>
      </c>
      <c r="V1515" s="40" t="str">
        <f>IF(AND(ТабПозиции[[#This Row],[Остаток]]=0,ТабПозиции[[#This Row],[Заказан]]="Да"),"Да","Нет")</f>
        <v>Да</v>
      </c>
      <c r="W1515" s="40" t="s">
        <v>545</v>
      </c>
      <c r="X1515" s="3"/>
      <c r="Y1515"/>
    </row>
    <row r="1516" spans="1:25" hidden="1" x14ac:dyDescent="0.25">
      <c r="A1516" s="10">
        <v>397</v>
      </c>
      <c r="B1516" s="1">
        <f>IFERROR(VLOOKUP(ТабПозиции[[#This Row],[orderNum]],ТабЗаказы[#Data],MATCH(B$7,ТабЗаказы[#Headers],0),0),"")</f>
        <v>45644</v>
      </c>
      <c r="C1516" t="str">
        <f>MONTH(ТабПозиции[[#This Row],[date]])&amp;"/"&amp;YEAR(ТабПозиции[[#This Row],[date]])</f>
        <v>12/2024</v>
      </c>
      <c r="D1516" s="1" t="str">
        <f>IFERROR(VLOOKUP(ТабПозиции[[#This Row],[orderNum]],ТабЗаказы[#Data],MATCH(D$7,ТабЗаказы[#Headers],0),0),"")</f>
        <v/>
      </c>
      <c r="E1516" s="1" t="str">
        <f>IFERROR(VLOOKUP(ТабПозиции[[#This Row],[orderNum]],ТабЗаказы[#Data],MATCH(E$7,ТабЗаказы[#Headers],0),0),"")</f>
        <v/>
      </c>
      <c r="F1516" s="16" t="s">
        <v>2035</v>
      </c>
      <c r="G1516" s="40" t="s">
        <v>545</v>
      </c>
      <c r="I1516" s="18">
        <v>45646</v>
      </c>
      <c r="J1516" s="10">
        <v>1</v>
      </c>
      <c r="K1516" s="10">
        <v>323</v>
      </c>
      <c r="L1516">
        <f>ТабПозиции[[#This Row],[discountPrice]]*ТабПозиции[[#This Row],[quantity]]</f>
        <v>323</v>
      </c>
      <c r="M1516" s="10">
        <v>330</v>
      </c>
      <c r="N1516">
        <f t="shared" si="28"/>
        <v>330</v>
      </c>
      <c r="P15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Row],[orderNum]],ТабПозиции[orderSumm])&gt;1500),ABS(N1516*VLOOKUP(ТабПозиции[[#This Row],[orderNum]],ТабЗаказы[#Data],MATCH("Percent",ТабЗаказы[#Headers],0),0))/100,200/COUNTIF(ТабПозиции[orderNum],ТабПозиции[[#This Row],[orderNum]])),0),"")</f>
        <v>50</v>
      </c>
      <c r="Q1516">
        <f>IF(OR(ТабПозиции[[#This Row],[item]]="По штрихкоду",ТабПозиции[[#This Row],[item]]="Посылка"),ТабПозиции[[#This Row],[deliverySumm]]+ТабПозиции[[#This Row],[deliveryPost]],SUM(N1516:P1516))</f>
        <v>380</v>
      </c>
      <c r="R1516" s="41">
        <v>380</v>
      </c>
      <c r="S1516" s="46">
        <f>ТабПозиции[[#This Row],[totalSumm]]-ТабПозиции[[#This Row],[payment]]</f>
        <v>0</v>
      </c>
      <c r="T1516" s="18" t="s">
        <v>960</v>
      </c>
      <c r="U1516" s="40" t="s">
        <v>545</v>
      </c>
      <c r="V1516" s="40" t="str">
        <f>IF(AND(ТабПозиции[[#This Row],[Остаток]]=0,ТабПозиции[[#This Row],[Заказан]]="Да"),"Да","Нет")</f>
        <v>Да</v>
      </c>
      <c r="W1516" s="40" t="s">
        <v>545</v>
      </c>
      <c r="X1516" s="3"/>
      <c r="Y1516"/>
    </row>
    <row r="1517" spans="1:25" hidden="1" x14ac:dyDescent="0.25">
      <c r="A1517" s="10">
        <v>397</v>
      </c>
      <c r="B1517" s="1">
        <f>IFERROR(VLOOKUP(ТабПозиции[[#This Row],[orderNum]],ТабЗаказы[#Data],MATCH(B$7,ТабЗаказы[#Headers],0),0),"")</f>
        <v>45644</v>
      </c>
      <c r="C1517" t="str">
        <f>MONTH(ТабПозиции[[#This Row],[date]])&amp;"/"&amp;YEAR(ТабПозиции[[#This Row],[date]])</f>
        <v>12/2024</v>
      </c>
      <c r="D1517" s="1" t="str">
        <f>IFERROR(VLOOKUP(ТабПозиции[[#This Row],[orderNum]],ТабЗаказы[#Data],MATCH(D$7,ТабЗаказы[#Headers],0),0),"")</f>
        <v/>
      </c>
      <c r="E1517" s="1" t="str">
        <f>IFERROR(VLOOKUP(ТабПозиции[[#This Row],[orderNum]],ТабЗаказы[#Data],MATCH(E$7,ТабЗаказы[#Headers],0),0),"")</f>
        <v/>
      </c>
      <c r="F1517" s="16" t="s">
        <v>2036</v>
      </c>
      <c r="G1517" s="40" t="s">
        <v>545</v>
      </c>
      <c r="I1517" s="18">
        <v>45646</v>
      </c>
      <c r="J1517" s="10">
        <v>1</v>
      </c>
      <c r="K1517" s="10">
        <v>722</v>
      </c>
      <c r="L1517">
        <f>ТабПозиции[[#This Row],[discountPrice]]*ТабПозиции[[#This Row],[quantity]]</f>
        <v>722</v>
      </c>
      <c r="M1517" s="10">
        <v>775</v>
      </c>
      <c r="N1517">
        <f t="shared" si="28"/>
        <v>775</v>
      </c>
      <c r="P15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Row],[orderNum]],ТабПозиции[orderSumm])&gt;1500),ABS(N1517*VLOOKUP(ТабПозиции[[#This Row],[orderNum]],ТабЗаказы[#Data],MATCH("Percent",ТабЗаказы[#Headers],0),0))/100,200/COUNTIF(ТабПозиции[orderNum],ТабПозиции[[#This Row],[orderNum]])),0),"")</f>
        <v>116</v>
      </c>
      <c r="Q1517">
        <f>IF(OR(ТабПозиции[[#This Row],[item]]="По штрихкоду",ТабПозиции[[#This Row],[item]]="Посылка"),ТабПозиции[[#This Row],[deliverySumm]]+ТабПозиции[[#This Row],[deliveryPost]],SUM(N1517:P1517))</f>
        <v>891</v>
      </c>
      <c r="R1517" s="41">
        <v>891</v>
      </c>
      <c r="S1517" s="46">
        <f>ТабПозиции[[#This Row],[totalSumm]]-ТабПозиции[[#This Row],[payment]]</f>
        <v>0</v>
      </c>
      <c r="T1517" s="18" t="s">
        <v>960</v>
      </c>
      <c r="U1517" s="40" t="s">
        <v>545</v>
      </c>
      <c r="V1517" s="40" t="str">
        <f>IF(AND(ТабПозиции[[#This Row],[Остаток]]=0,ТабПозиции[[#This Row],[Заказан]]="Да"),"Да","Нет")</f>
        <v>Да</v>
      </c>
      <c r="W1517" s="40" t="s">
        <v>545</v>
      </c>
      <c r="X1517" s="3"/>
      <c r="Y1517"/>
    </row>
    <row r="1518" spans="1:25" hidden="1" x14ac:dyDescent="0.25">
      <c r="A1518" s="10">
        <v>397</v>
      </c>
      <c r="B1518" s="1">
        <f>IFERROR(VLOOKUP(ТабПозиции[[#This Row],[orderNum]],ТабЗаказы[#Data],MATCH(B$7,ТабЗаказы[#Headers],0),0),"")</f>
        <v>45644</v>
      </c>
      <c r="C1518" t="str">
        <f>MONTH(ТабПозиции[[#This Row],[date]])&amp;"/"&amp;YEAR(ТабПозиции[[#This Row],[date]])</f>
        <v>12/2024</v>
      </c>
      <c r="D1518" s="1" t="str">
        <f>IFERROR(VLOOKUP(ТабПозиции[[#This Row],[orderNum]],ТабЗаказы[#Data],MATCH(D$7,ТабЗаказы[#Headers],0),0),"")</f>
        <v/>
      </c>
      <c r="E1518" s="1" t="str">
        <f>IFERROR(VLOOKUP(ТабПозиции[[#This Row],[orderNum]],ТабЗаказы[#Data],MATCH(E$7,ТабЗаказы[#Headers],0),0),"")</f>
        <v/>
      </c>
      <c r="F1518" s="16" t="s">
        <v>2037</v>
      </c>
      <c r="G1518" s="40" t="s">
        <v>545</v>
      </c>
      <c r="I1518" s="18">
        <v>45645</v>
      </c>
      <c r="J1518" s="10">
        <v>1</v>
      </c>
      <c r="K1518" s="10">
        <v>186</v>
      </c>
      <c r="L1518">
        <f>ТабПозиции[[#This Row],[discountPrice]]*ТабПозиции[[#This Row],[quantity]]</f>
        <v>186</v>
      </c>
      <c r="M1518" s="10">
        <v>190</v>
      </c>
      <c r="N1518">
        <f t="shared" si="28"/>
        <v>190</v>
      </c>
      <c r="P15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Row],[orderNum]],ТабПозиции[orderSumm])&gt;1500),ABS(N1518*VLOOKUP(ТабПозиции[[#This Row],[orderNum]],ТабЗаказы[#Data],MATCH("Percent",ТабЗаказы[#Headers],0),0))/100,200/COUNTIF(ТабПозиции[orderNum],ТабПозиции[[#This Row],[orderNum]])),0),"")</f>
        <v>29</v>
      </c>
      <c r="Q1518">
        <f>IF(OR(ТабПозиции[[#This Row],[item]]="По штрихкоду",ТабПозиции[[#This Row],[item]]="Посылка"),ТабПозиции[[#This Row],[deliverySumm]]+ТабПозиции[[#This Row],[deliveryPost]],SUM(N1518:P1518))</f>
        <v>219</v>
      </c>
      <c r="R1518" s="41">
        <v>219</v>
      </c>
      <c r="S1518" s="46">
        <f>ТабПозиции[[#This Row],[totalSumm]]-ТабПозиции[[#This Row],[payment]]</f>
        <v>0</v>
      </c>
      <c r="T1518" s="18" t="s">
        <v>960</v>
      </c>
      <c r="U1518" s="40" t="s">
        <v>545</v>
      </c>
      <c r="V1518" s="40" t="str">
        <f>IF(AND(ТабПозиции[[#This Row],[Остаток]]=0,ТабПозиции[[#This Row],[Заказан]]="Да"),"Да","Нет")</f>
        <v>Да</v>
      </c>
      <c r="W1518" s="40" t="s">
        <v>545</v>
      </c>
      <c r="X1518" s="3"/>
      <c r="Y1518"/>
    </row>
    <row r="1519" spans="1:25" hidden="1" x14ac:dyDescent="0.25">
      <c r="A1519" s="10">
        <v>397</v>
      </c>
      <c r="B1519" s="1">
        <f>IFERROR(VLOOKUP(ТабПозиции[[#This Row],[orderNum]],ТабЗаказы[#Data],MATCH(B$7,ТабЗаказы[#Headers],0),0),"")</f>
        <v>45644</v>
      </c>
      <c r="C1519" t="str">
        <f>MONTH(ТабПозиции[[#This Row],[date]])&amp;"/"&amp;YEAR(ТабПозиции[[#This Row],[date]])</f>
        <v>12/2024</v>
      </c>
      <c r="D1519" s="1" t="str">
        <f>IFERROR(VLOOKUP(ТабПозиции[[#This Row],[orderNum]],ТабЗаказы[#Data],MATCH(D$7,ТабЗаказы[#Headers],0),0),"")</f>
        <v/>
      </c>
      <c r="E1519" s="1" t="str">
        <f>IFERROR(VLOOKUP(ТабПозиции[[#This Row],[orderNum]],ТабЗаказы[#Data],MATCH(E$7,ТабЗаказы[#Headers],0),0),"")</f>
        <v/>
      </c>
      <c r="F1519" s="16" t="s">
        <v>2038</v>
      </c>
      <c r="G1519" s="40" t="s">
        <v>545</v>
      </c>
      <c r="I1519" s="18">
        <v>45646</v>
      </c>
      <c r="J1519" s="10">
        <v>1</v>
      </c>
      <c r="K1519" s="10">
        <v>423</v>
      </c>
      <c r="L1519">
        <f>ТабПозиции[[#This Row],[discountPrice]]*ТабПозиции[[#This Row],[quantity]]</f>
        <v>423</v>
      </c>
      <c r="M1519" s="10">
        <v>454</v>
      </c>
      <c r="N1519">
        <f t="shared" si="28"/>
        <v>454</v>
      </c>
      <c r="P15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Row],[orderNum]],ТабПозиции[orderSumm])&gt;1500),ABS(N1519*VLOOKUP(ТабПозиции[[#This Row],[orderNum]],ТабЗаказы[#Data],MATCH("Percent",ТабЗаказы[#Headers],0),0))/100,200/COUNTIF(ТабПозиции[orderNum],ТабПозиции[[#This Row],[orderNum]])),0),"")</f>
        <v>68</v>
      </c>
      <c r="Q1519">
        <f>IF(OR(ТабПозиции[[#This Row],[item]]="По штрихкоду",ТабПозиции[[#This Row],[item]]="Посылка"),ТабПозиции[[#This Row],[deliverySumm]]+ТабПозиции[[#This Row],[deliveryPost]],SUM(N1519:P1519))</f>
        <v>522</v>
      </c>
      <c r="R1519" s="41">
        <v>522</v>
      </c>
      <c r="S1519" s="46">
        <f>ТабПозиции[[#This Row],[totalSumm]]-ТабПозиции[[#This Row],[payment]]</f>
        <v>0</v>
      </c>
      <c r="T1519" s="18" t="s">
        <v>960</v>
      </c>
      <c r="U1519" s="40" t="s">
        <v>545</v>
      </c>
      <c r="V1519" s="40" t="str">
        <f>IF(AND(ТабПозиции[[#This Row],[Остаток]]=0,ТабПозиции[[#This Row],[Заказан]]="Да"),"Да","Нет")</f>
        <v>Да</v>
      </c>
      <c r="W1519" s="40" t="s">
        <v>545</v>
      </c>
      <c r="X1519" s="3"/>
      <c r="Y1519"/>
    </row>
    <row r="1520" spans="1:25" hidden="1" x14ac:dyDescent="0.25">
      <c r="A1520" s="10">
        <v>398</v>
      </c>
      <c r="B1520" s="1">
        <f>IFERROR(VLOOKUP(ТабПозиции[[#This Row],[orderNum]],ТабЗаказы[#Data],MATCH(B$7,ТабЗаказы[#Headers],0),0),"")</f>
        <v>45645</v>
      </c>
      <c r="C1520" t="str">
        <f>MONTH(ТабПозиции[[#This Row],[date]])&amp;"/"&amp;YEAR(ТабПозиции[[#This Row],[date]])</f>
        <v>12/2024</v>
      </c>
      <c r="D1520" s="1" t="str">
        <f>IFERROR(VLOOKUP(ТабПозиции[[#This Row],[orderNum]],ТабЗаказы[#Data],MATCH(D$7,ТабЗаказы[#Headers],0),0),"")</f>
        <v/>
      </c>
      <c r="E1520" s="1" t="str">
        <f>IFERROR(VLOOKUP(ТабПозиции[[#This Row],[orderNum]],ТабЗаказы[#Data],MATCH(E$7,ТабЗаказы[#Headers],0),0),"")</f>
        <v/>
      </c>
      <c r="F1520" s="10" t="s">
        <v>32</v>
      </c>
      <c r="G1520" s="40" t="s">
        <v>545</v>
      </c>
      <c r="I1520" s="18">
        <v>45646</v>
      </c>
      <c r="J1520" s="10">
        <v>1</v>
      </c>
      <c r="K1520" s="10">
        <f>262+189+1251+1792+350+199+520+1003+1178+1492</f>
        <v>8236</v>
      </c>
      <c r="L1520">
        <f>ТабПозиции[[#This Row],[discountPrice]]*ТабПозиции[[#This Row],[quantity]]</f>
        <v>8236</v>
      </c>
      <c r="M1520" s="10">
        <v>8236</v>
      </c>
      <c r="N1520">
        <f t="shared" si="28"/>
        <v>8236</v>
      </c>
      <c r="P15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Row],[orderNum]],ТабПозиции[orderSumm])&gt;1500),ABS(N1520*VLOOKUP(ТабПозиции[[#This Row],[orderNum]],ТабЗаказы[#Data],MATCH("Percent",ТабЗаказы[#Headers],0),0))/100,200/COUNTIF(ТабПозиции[orderNum],ТабПозиции[[#This Row],[orderNum]])),0),"")</f>
        <v>1235</v>
      </c>
      <c r="Q1520">
        <f>IF(OR(ТабПозиции[[#This Row],[item]]="По штрихкоду",ТабПозиции[[#This Row],[item]]="Посылка"),ТабПозиции[[#This Row],[deliverySumm]]+ТабПозиции[[#This Row],[deliveryPost]],SUM(N1520:P1520))</f>
        <v>1235</v>
      </c>
      <c r="R1520" s="41">
        <v>1500</v>
      </c>
      <c r="S1520" s="46">
        <f>ТабПозиции[[#This Row],[totalSumm]]-ТабПозиции[[#This Row],[payment]]</f>
        <v>-265</v>
      </c>
      <c r="T1520" s="18" t="s">
        <v>960</v>
      </c>
      <c r="U1520" s="40" t="s">
        <v>545</v>
      </c>
      <c r="V1520" s="40" t="str">
        <f>IF(AND(ТабПозиции[[#This Row],[Остаток]]=0,ТабПозиции[[#This Row],[Заказан]]="Да"),"Да","Нет")</f>
        <v>Нет</v>
      </c>
      <c r="W1520" s="40" t="s">
        <v>545</v>
      </c>
      <c r="X1520" s="3"/>
      <c r="Y1520"/>
    </row>
    <row r="1521" spans="1:25" hidden="1" x14ac:dyDescent="0.25">
      <c r="A1521" s="10">
        <v>399</v>
      </c>
      <c r="B1521" s="1">
        <f>IFERROR(VLOOKUP(ТабПозиции[[#This Row],[orderNum]],ТабЗаказы[#Data],MATCH(B$7,ТабЗаказы[#Headers],0),0),"")</f>
        <v>45646</v>
      </c>
      <c r="C1521" t="str">
        <f>MONTH(ТабПозиции[[#This Row],[date]])&amp;"/"&amp;YEAR(ТабПозиции[[#This Row],[date]])</f>
        <v>12/2024</v>
      </c>
      <c r="D1521" s="1" t="str">
        <f>IFERROR(VLOOKUP(ТабПозиции[[#This Row],[orderNum]],ТабЗаказы[#Data],MATCH(D$7,ТабЗаказы[#Headers],0),0),"")</f>
        <v/>
      </c>
      <c r="E1521" s="1" t="str">
        <f>IFERROR(VLOOKUP(ТабПозиции[[#This Row],[orderNum]],ТабЗаказы[#Data],MATCH(E$7,ТабЗаказы[#Headers],0),0),"")</f>
        <v/>
      </c>
      <c r="F1521" s="10" t="s">
        <v>32</v>
      </c>
      <c r="G1521" s="40" t="s">
        <v>545</v>
      </c>
      <c r="I1521" s="18">
        <v>45646</v>
      </c>
      <c r="J1521" s="10">
        <v>1</v>
      </c>
      <c r="K1521" s="10">
        <v>1939</v>
      </c>
      <c r="L1521">
        <f>ТабПозиции[[#This Row],[discountPrice]]*ТабПозиции[[#This Row],[quantity]]</f>
        <v>1939</v>
      </c>
      <c r="M1521" s="10">
        <v>1939</v>
      </c>
      <c r="N1521">
        <f t="shared" si="28"/>
        <v>1939</v>
      </c>
      <c r="P15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Row],[orderNum]],ТабПозиции[orderSumm])&gt;1500),ABS(N1521*VLOOKUP(ТабПозиции[[#This Row],[orderNum]],ТабЗаказы[#Data],MATCH("Percent",ТабЗаказы[#Headers],0),0))/100,200/COUNTIF(ТабПозиции[orderNum],ТабПозиции[[#This Row],[orderNum]])),0),"")</f>
        <v>388</v>
      </c>
      <c r="Q1521">
        <f>IF(OR(ТабПозиции[[#This Row],[item]]="По штрихкоду",ТабПозиции[[#This Row],[item]]="Посылка"),ТабПозиции[[#This Row],[deliverySumm]]+ТабПозиции[[#This Row],[deliveryPost]],SUM(N1521:P1521))</f>
        <v>388</v>
      </c>
      <c r="R1521" s="41">
        <v>500</v>
      </c>
      <c r="S1521" s="46">
        <f>ТабПозиции[[#This Row],[totalSumm]]-ТабПозиции[[#This Row],[payment]]</f>
        <v>-112</v>
      </c>
      <c r="T1521" s="18" t="s">
        <v>960</v>
      </c>
      <c r="U1521" s="40" t="s">
        <v>545</v>
      </c>
      <c r="V1521" s="40" t="str">
        <f>IF(AND(ТабПозиции[[#This Row],[Остаток]]=0,ТабПозиции[[#This Row],[Заказан]]="Да"),"Да","Нет")</f>
        <v>Нет</v>
      </c>
      <c r="W1521" s="40" t="s">
        <v>545</v>
      </c>
      <c r="X1521" s="3"/>
      <c r="Y1521"/>
    </row>
    <row r="1522" spans="1:25" hidden="1" x14ac:dyDescent="0.25">
      <c r="A1522" s="10">
        <v>400</v>
      </c>
      <c r="B1522" s="1">
        <f>IFERROR(VLOOKUP(ТабПозиции[[#This Row],[orderNum]],ТабЗаказы[#Data],MATCH(B$7,ТабЗаказы[#Headers],0),0),"")</f>
        <v>45646</v>
      </c>
      <c r="C1522" t="str">
        <f>MONTH(ТабПозиции[[#This Row],[date]])&amp;"/"&amp;YEAR(ТабПозиции[[#This Row],[date]])</f>
        <v>12/2024</v>
      </c>
      <c r="D1522" s="1" t="str">
        <f>IFERROR(VLOOKUP(ТабПозиции[[#This Row],[orderNum]],ТабЗаказы[#Data],MATCH(D$7,ТабЗаказы[#Headers],0),0),"")</f>
        <v/>
      </c>
      <c r="E1522" s="1" t="str">
        <f>IFERROR(VLOOKUP(ТабПозиции[[#This Row],[orderNum]],ТабЗаказы[#Data],MATCH(E$7,ТабЗаказы[#Headers],0),0),"")</f>
        <v/>
      </c>
      <c r="F1522" s="10" t="s">
        <v>32</v>
      </c>
      <c r="G1522" s="40" t="s">
        <v>545</v>
      </c>
      <c r="I1522" s="18">
        <v>45646</v>
      </c>
      <c r="J1522" s="10">
        <v>1</v>
      </c>
      <c r="K1522" s="10">
        <v>2898</v>
      </c>
      <c r="L1522">
        <f>ТабПозиции[[#This Row],[discountPrice]]*ТабПозиции[[#This Row],[quantity]]</f>
        <v>2898</v>
      </c>
      <c r="M1522" s="10">
        <v>2898</v>
      </c>
      <c r="N1522">
        <f t="shared" si="28"/>
        <v>2898</v>
      </c>
      <c r="P15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Row],[orderNum]],ТабПозиции[orderSumm])&gt;1500),ABS(N1522*VLOOKUP(ТабПозиции[[#This Row],[orderNum]],ТабЗаказы[#Data],MATCH("Percent",ТабЗаказы[#Headers],0),0))/100,200/COUNTIF(ТабПозиции[orderNum],ТабПозиции[[#This Row],[orderNum]])),0),"")</f>
        <v>435</v>
      </c>
      <c r="Q1522">
        <f>IF(OR(ТабПозиции[[#This Row],[item]]="По штрихкоду",ТабПозиции[[#This Row],[item]]="Посылка"),ТабПозиции[[#This Row],[deliverySumm]]+ТабПозиции[[#This Row],[deliveryPost]],SUM(N1522:P1522))</f>
        <v>435</v>
      </c>
      <c r="R1522" s="41">
        <v>435</v>
      </c>
      <c r="S1522" s="46">
        <f>ТабПозиции[[#This Row],[totalSumm]]-ТабПозиции[[#This Row],[payment]]</f>
        <v>0</v>
      </c>
      <c r="T1522" s="18" t="s">
        <v>960</v>
      </c>
      <c r="U1522" s="40" t="s">
        <v>545</v>
      </c>
      <c r="V1522" s="40" t="str">
        <f>IF(AND(ТабПозиции[[#This Row],[Остаток]]=0,ТабПозиции[[#This Row],[Заказан]]="Да"),"Да","Нет")</f>
        <v>Да</v>
      </c>
      <c r="W1522" s="40" t="s">
        <v>545</v>
      </c>
      <c r="X1522" s="3"/>
      <c r="Y1522"/>
    </row>
    <row r="1523" spans="1:25" hidden="1" x14ac:dyDescent="0.25">
      <c r="A1523" s="10">
        <v>401</v>
      </c>
      <c r="B1523" s="1">
        <f>IFERROR(VLOOKUP(ТабПозиции[[#This Row],[orderNum]],ТабЗаказы[#Data],MATCH(B$7,ТабЗаказы[#Headers],0),0),"")</f>
        <v>45646</v>
      </c>
      <c r="C1523" t="str">
        <f>MONTH(ТабПозиции[[#This Row],[date]])&amp;"/"&amp;YEAR(ТабПозиции[[#This Row],[date]])</f>
        <v>12/2024</v>
      </c>
      <c r="D1523" s="1" t="str">
        <f>IFERROR(VLOOKUP(ТабПозиции[[#This Row],[orderNum]],ТабЗаказы[#Data],MATCH(D$7,ТабЗаказы[#Headers],0),0),"")</f>
        <v/>
      </c>
      <c r="E1523" s="1" t="str">
        <f>IFERROR(VLOOKUP(ТабПозиции[[#This Row],[orderNum]],ТабЗаказы[#Data],MATCH(E$7,ТабЗаказы[#Headers],0),0),"")</f>
        <v/>
      </c>
      <c r="F1523" s="10" t="s">
        <v>32</v>
      </c>
      <c r="G1523" s="40" t="s">
        <v>545</v>
      </c>
      <c r="I1523" s="18">
        <v>45646</v>
      </c>
      <c r="J1523" s="10">
        <v>1</v>
      </c>
      <c r="K1523" s="10">
        <v>18039</v>
      </c>
      <c r="L1523">
        <f>ТабПозиции[[#This Row],[discountPrice]]*ТабПозиции[[#This Row],[quantity]]</f>
        <v>18039</v>
      </c>
      <c r="M1523" s="10">
        <v>18039</v>
      </c>
      <c r="N1523">
        <f t="shared" si="28"/>
        <v>18039</v>
      </c>
      <c r="P15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Row],[orderNum]],ТабПозиции[orderSumm])&gt;1500),ABS(N1523*VLOOKUP(ТабПозиции[[#This Row],[orderNum]],ТабЗаказы[#Data],MATCH("Percent",ТабЗаказы[#Headers],0),0))/100,200/COUNTIF(ТабПозиции[orderNum],ТабПозиции[[#This Row],[orderNum]])),0),"")</f>
        <v>1804</v>
      </c>
      <c r="Q1523">
        <f>IF(OR(ТабПозиции[[#This Row],[item]]="По штрихкоду",ТабПозиции[[#This Row],[item]]="Посылка"),ТабПозиции[[#This Row],[deliverySumm]]+ТабПозиции[[#This Row],[deliveryPost]],SUM(N1523:P1523))</f>
        <v>1804</v>
      </c>
      <c r="R1523" s="41">
        <v>1804</v>
      </c>
      <c r="S1523" s="46">
        <f>ТабПозиции[[#This Row],[totalSumm]]-ТабПозиции[[#This Row],[payment]]</f>
        <v>0</v>
      </c>
      <c r="T1523" s="18" t="s">
        <v>960</v>
      </c>
      <c r="U1523" s="40" t="s">
        <v>545</v>
      </c>
      <c r="V1523" s="40" t="str">
        <f>IF(AND(ТабПозиции[[#This Row],[Остаток]]=0,ТабПозиции[[#This Row],[Заказан]]="Да"),"Да","Нет")</f>
        <v>Да</v>
      </c>
      <c r="W1523" s="40" t="s">
        <v>545</v>
      </c>
      <c r="X1523" s="3"/>
      <c r="Y1523"/>
    </row>
    <row r="1524" spans="1:25" hidden="1" x14ac:dyDescent="0.25">
      <c r="A1524" s="10">
        <v>402</v>
      </c>
      <c r="B1524" s="1">
        <f>IFERROR(VLOOKUP(ТабПозиции[[#This Row],[orderNum]],ТабЗаказы[#Data],MATCH(B$7,ТабЗаказы[#Headers],0),0),"")</f>
        <v>45646</v>
      </c>
      <c r="C1524" t="str">
        <f>MONTH(ТабПозиции[[#This Row],[date]])&amp;"/"&amp;YEAR(ТабПозиции[[#This Row],[date]])</f>
        <v>12/2024</v>
      </c>
      <c r="D1524" s="1" t="str">
        <f>IFERROR(VLOOKUP(ТабПозиции[[#This Row],[orderNum]],ТабЗаказы[#Data],MATCH(D$7,ТабЗаказы[#Headers],0),0),"")</f>
        <v/>
      </c>
      <c r="E1524" s="1" t="str">
        <f>IFERROR(VLOOKUP(ТабПозиции[[#This Row],[orderNum]],ТабЗаказы[#Data],MATCH(E$7,ТабЗаказы[#Headers],0),0),"")</f>
        <v/>
      </c>
      <c r="F1524" s="16" t="s">
        <v>2043</v>
      </c>
      <c r="G1524" s="40" t="s">
        <v>545</v>
      </c>
      <c r="I1524" s="18">
        <v>45650</v>
      </c>
      <c r="J1524" s="10">
        <v>1</v>
      </c>
      <c r="K1524" s="10">
        <v>3661</v>
      </c>
      <c r="L1524">
        <f>ТабПозиции[[#This Row],[discountPrice]]*ТабПозиции[[#This Row],[quantity]]</f>
        <v>3661</v>
      </c>
      <c r="M1524" s="10">
        <v>3854</v>
      </c>
      <c r="N1524">
        <f t="shared" si="28"/>
        <v>3854</v>
      </c>
      <c r="P15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Row],[orderNum]],ТабПозиции[orderSumm])&gt;1500),ABS(N1524*VLOOKUP(ТабПозиции[[#This Row],[orderNum]],ТабЗаказы[#Data],MATCH("Percent",ТабЗаказы[#Headers],0),0))/100,200/COUNTIF(ТабПозиции[orderNum],ТабПозиции[[#This Row],[orderNum]])),0),"")</f>
        <v>385</v>
      </c>
      <c r="Q1524">
        <f>IF(OR(ТабПозиции[[#This Row],[item]]="По штрихкоду",ТабПозиции[[#This Row],[item]]="Посылка"),ТабПозиции[[#This Row],[deliverySumm]]+ТабПозиции[[#This Row],[deliveryPost]],SUM(N1524:P1524))</f>
        <v>4239</v>
      </c>
      <c r="R1524" s="41">
        <v>4239</v>
      </c>
      <c r="S1524" s="46">
        <f>ТабПозиции[[#This Row],[totalSumm]]-ТабПозиции[[#This Row],[payment]]</f>
        <v>0</v>
      </c>
      <c r="T1524" s="18" t="s">
        <v>970</v>
      </c>
      <c r="U1524" s="40" t="s">
        <v>545</v>
      </c>
      <c r="V1524" s="40" t="str">
        <f>IF(AND(ТабПозиции[[#This Row],[Остаток]]=0,ТабПозиции[[#This Row],[Заказан]]="Да"),"Да","Нет")</f>
        <v>Да</v>
      </c>
      <c r="W1524" s="40" t="s">
        <v>545</v>
      </c>
      <c r="X1524" s="3"/>
      <c r="Y1524"/>
    </row>
    <row r="1525" spans="1:25" hidden="1" x14ac:dyDescent="0.25">
      <c r="A1525" s="10">
        <v>402</v>
      </c>
      <c r="B1525" s="1">
        <f>IFERROR(VLOOKUP(ТабПозиции[[#This Row],[orderNum]],ТабЗаказы[#Data],MATCH(B$7,ТабЗаказы[#Headers],0),0),"")</f>
        <v>45646</v>
      </c>
      <c r="C1525" t="str">
        <f>MONTH(ТабПозиции[[#This Row],[date]])&amp;"/"&amp;YEAR(ТабПозиции[[#This Row],[date]])</f>
        <v>12/2024</v>
      </c>
      <c r="D1525" s="1" t="str">
        <f>IFERROR(VLOOKUP(ТабПозиции[[#This Row],[orderNum]],ТабЗаказы[#Data],MATCH(D$7,ТабЗаказы[#Headers],0),0),"")</f>
        <v/>
      </c>
      <c r="E1525" s="1" t="str">
        <f>IFERROR(VLOOKUP(ТабПозиции[[#This Row],[orderNum]],ТабЗаказы[#Data],MATCH(E$7,ТабЗаказы[#Headers],0),0),"")</f>
        <v/>
      </c>
      <c r="F1525" s="16" t="s">
        <v>2024</v>
      </c>
      <c r="G1525" s="40" t="s">
        <v>545</v>
      </c>
      <c r="I1525" s="18">
        <v>45652</v>
      </c>
      <c r="J1525" s="10">
        <v>1</v>
      </c>
      <c r="K1525" s="10">
        <v>1282</v>
      </c>
      <c r="L1525">
        <f>ТабПозиции[[#This Row],[discountPrice]]*ТабПозиции[[#This Row],[quantity]]</f>
        <v>1282</v>
      </c>
      <c r="M1525" s="10">
        <v>1350</v>
      </c>
      <c r="N1525">
        <f t="shared" si="28"/>
        <v>1350</v>
      </c>
      <c r="P15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Row],[orderNum]],ТабПозиции[orderSumm])&gt;1500),ABS(N1525*VLOOKUP(ТабПозиции[[#This Row],[orderNum]],ТабЗаказы[#Data],MATCH("Percent",ТабЗаказы[#Headers],0),0))/100,200/COUNTIF(ТабПозиции[orderNum],ТабПозиции[[#This Row],[orderNum]])),0),"")</f>
        <v>135</v>
      </c>
      <c r="Q1525">
        <f>IF(OR(ТабПозиции[[#This Row],[item]]="По штрихкоду",ТабПозиции[[#This Row],[item]]="Посылка"),ТабПозиции[[#This Row],[deliverySumm]]+ТабПозиции[[#This Row],[deliveryPost]],SUM(N1525:P1525))</f>
        <v>1485</v>
      </c>
      <c r="R1525" s="41">
        <v>1485</v>
      </c>
      <c r="S1525" s="46">
        <f>ТабПозиции[[#This Row],[totalSumm]]-ТабПозиции[[#This Row],[payment]]</f>
        <v>0</v>
      </c>
      <c r="T1525" s="18" t="s">
        <v>970</v>
      </c>
      <c r="U1525" s="40" t="s">
        <v>545</v>
      </c>
      <c r="V1525" s="40" t="str">
        <f>IF(AND(ТабПозиции[[#This Row],[Остаток]]=0,ТабПозиции[[#This Row],[Заказан]]="Да"),"Да","Нет")</f>
        <v>Да</v>
      </c>
      <c r="W1525" s="40" t="s">
        <v>545</v>
      </c>
      <c r="X1525" s="3"/>
      <c r="Y1525"/>
    </row>
    <row r="1526" spans="1:25" hidden="1" x14ac:dyDescent="0.25">
      <c r="A1526" s="10">
        <v>403</v>
      </c>
      <c r="B1526" s="1">
        <f>IFERROR(VLOOKUP(ТабПозиции[[#This Row],[orderNum]],ТабЗаказы[#Data],MATCH(B$7,ТабЗаказы[#Headers],0),0),"")</f>
        <v>45649</v>
      </c>
      <c r="C1526" t="str">
        <f>MONTH(ТабПозиции[[#This Row],[date]])&amp;"/"&amp;YEAR(ТабПозиции[[#This Row],[date]])</f>
        <v>12/2024</v>
      </c>
      <c r="D1526" s="1" t="str">
        <f>IFERROR(VLOOKUP(ТабПозиции[[#This Row],[orderNum]],ТабЗаказы[#Data],MATCH(D$7,ТабЗаказы[#Headers],0),0),"")</f>
        <v/>
      </c>
      <c r="E1526" s="1" t="str">
        <f>IFERROR(VLOOKUP(ТабПозиции[[#This Row],[orderNum]],ТабЗаказы[#Data],MATCH(E$7,ТабЗаказы[#Headers],0),0),"")</f>
        <v/>
      </c>
      <c r="F1526" s="16" t="s">
        <v>2044</v>
      </c>
      <c r="G1526" s="40" t="s">
        <v>545</v>
      </c>
      <c r="I1526" s="18">
        <v>45655</v>
      </c>
      <c r="J1526" s="10">
        <v>1</v>
      </c>
      <c r="K1526" s="10">
        <v>871</v>
      </c>
      <c r="L1526">
        <f>ТабПозиции[[#This Row],[discountPrice]]*ТабПозиции[[#This Row],[quantity]]</f>
        <v>871</v>
      </c>
      <c r="M1526" s="10">
        <v>936</v>
      </c>
      <c r="N1526">
        <f t="shared" si="28"/>
        <v>936</v>
      </c>
      <c r="P15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Row],[orderNum]],ТабПозиции[orderSumm])&gt;1500),ABS(N1526*VLOOKUP(ТабПозиции[[#This Row],[orderNum]],ТабЗаказы[#Data],MATCH("Percent",ТабЗаказы[#Headers],0),0))/100,200/COUNTIF(ТабПозиции[orderNum],ТабПозиции[[#This Row],[orderNum]])),0),"")</f>
        <v>140</v>
      </c>
      <c r="Q1526">
        <f>IF(OR(ТабПозиции[[#This Row],[item]]="По штрихкоду",ТабПозиции[[#This Row],[item]]="Посылка"),ТабПозиции[[#This Row],[deliverySumm]]+ТабПозиции[[#This Row],[deliveryPost]],SUM(N1526:P1526))</f>
        <v>1076</v>
      </c>
      <c r="R1526" s="41">
        <v>1076</v>
      </c>
      <c r="S1526" s="46">
        <f>ТабПозиции[[#This Row],[totalSumm]]-ТабПозиции[[#This Row],[payment]]</f>
        <v>0</v>
      </c>
      <c r="T1526" s="18" t="s">
        <v>960</v>
      </c>
      <c r="U1526" s="40" t="s">
        <v>545</v>
      </c>
      <c r="V1526" s="40" t="str">
        <f>IF(AND(ТабПозиции[[#This Row],[Остаток]]=0,ТабПозиции[[#This Row],[Заказан]]="Да"),"Да","Нет")</f>
        <v>Да</v>
      </c>
      <c r="W1526" s="40" t="s">
        <v>545</v>
      </c>
      <c r="X1526" s="3"/>
      <c r="Y1526"/>
    </row>
    <row r="1527" spans="1:25" hidden="1" x14ac:dyDescent="0.25">
      <c r="A1527" s="10">
        <v>403</v>
      </c>
      <c r="B1527" s="1">
        <f>IFERROR(VLOOKUP(ТабПозиции[[#This Row],[orderNum]],ТабЗаказы[#Data],MATCH(B$7,ТабЗаказы[#Headers],0),0),"")</f>
        <v>45649</v>
      </c>
      <c r="C1527" t="str">
        <f>MONTH(ТабПозиции[[#This Row],[date]])&amp;"/"&amp;YEAR(ТабПозиции[[#This Row],[date]])</f>
        <v>12/2024</v>
      </c>
      <c r="D1527" s="1" t="str">
        <f>IFERROR(VLOOKUP(ТабПозиции[[#This Row],[orderNum]],ТабЗаказы[#Data],MATCH(D$7,ТабЗаказы[#Headers],0),0),"")</f>
        <v/>
      </c>
      <c r="E1527" s="1" t="str">
        <f>IFERROR(VLOOKUP(ТабПозиции[[#This Row],[orderNum]],ТабЗаказы[#Data],MATCH(E$7,ТабЗаказы[#Headers],0),0),"")</f>
        <v/>
      </c>
      <c r="F1527" s="16" t="s">
        <v>2045</v>
      </c>
      <c r="G1527" s="40" t="s">
        <v>545</v>
      </c>
      <c r="I1527" s="18">
        <v>45654</v>
      </c>
      <c r="J1527" s="10">
        <v>1</v>
      </c>
      <c r="K1527" s="10">
        <v>1026</v>
      </c>
      <c r="L1527">
        <f>ТабПозиции[[#This Row],[discountPrice]]*ТабПозиции[[#This Row],[quantity]]</f>
        <v>1026</v>
      </c>
      <c r="M1527" s="10">
        <v>1101</v>
      </c>
      <c r="N1527">
        <f t="shared" si="28"/>
        <v>1101</v>
      </c>
      <c r="P15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Row],[orderNum]],ТабПозиции[orderSumm])&gt;1500),ABS(N1527*VLOOKUP(ТабПозиции[[#This Row],[orderNum]],ТабЗаказы[#Data],MATCH("Percent",ТабЗаказы[#Headers],0),0))/100,200/COUNTIF(ТабПозиции[orderNum],ТабПозиции[[#This Row],[orderNum]])),0),"")</f>
        <v>165</v>
      </c>
      <c r="Q1527">
        <f>IF(OR(ТабПозиции[[#This Row],[item]]="По штрихкоду",ТабПозиции[[#This Row],[item]]="Посылка"),ТабПозиции[[#This Row],[deliverySumm]]+ТабПозиции[[#This Row],[deliveryPost]],SUM(N1527:P1527))</f>
        <v>1266</v>
      </c>
      <c r="R1527" s="41">
        <v>1266</v>
      </c>
      <c r="S1527" s="46">
        <f>ТабПозиции[[#This Row],[totalSumm]]-ТабПозиции[[#This Row],[payment]]</f>
        <v>0</v>
      </c>
      <c r="T1527" s="18" t="s">
        <v>960</v>
      </c>
      <c r="U1527" s="40" t="s">
        <v>545</v>
      </c>
      <c r="V1527" s="40" t="str">
        <f>IF(AND(ТабПозиции[[#This Row],[Остаток]]=0,ТабПозиции[[#This Row],[Заказан]]="Да"),"Да","Нет")</f>
        <v>Да</v>
      </c>
      <c r="W1527" s="40" t="s">
        <v>545</v>
      </c>
      <c r="X1527" s="3"/>
      <c r="Y1527"/>
    </row>
    <row r="1528" spans="1:25" hidden="1" x14ac:dyDescent="0.25">
      <c r="A1528" s="10">
        <v>403</v>
      </c>
      <c r="B1528" s="1">
        <f>IFERROR(VLOOKUP(ТабПозиции[[#This Row],[orderNum]],ТабЗаказы[#Data],MATCH(B$7,ТабЗаказы[#Headers],0),0),"")</f>
        <v>45649</v>
      </c>
      <c r="C1528" t="str">
        <f>MONTH(ТабПозиции[[#This Row],[date]])&amp;"/"&amp;YEAR(ТабПозиции[[#This Row],[date]])</f>
        <v>12/2024</v>
      </c>
      <c r="D1528" s="1" t="str">
        <f>IFERROR(VLOOKUP(ТабПозиции[[#This Row],[orderNum]],ТабЗаказы[#Data],MATCH(D$7,ТабЗаказы[#Headers],0),0),"")</f>
        <v/>
      </c>
      <c r="E1528" s="1" t="str">
        <f>IFERROR(VLOOKUP(ТабПозиции[[#This Row],[orderNum]],ТабЗаказы[#Data],MATCH(E$7,ТабЗаказы[#Headers],0),0),"")</f>
        <v/>
      </c>
      <c r="F1528" s="16" t="s">
        <v>1976</v>
      </c>
      <c r="G1528" s="40" t="s">
        <v>545</v>
      </c>
      <c r="I1528" s="18">
        <v>45652</v>
      </c>
      <c r="J1528" s="10">
        <v>1</v>
      </c>
      <c r="K1528" s="10">
        <v>280</v>
      </c>
      <c r="L1528">
        <f>ТабПозиции[[#This Row],[discountPrice]]*ТабПозиции[[#This Row],[quantity]]</f>
        <v>280</v>
      </c>
      <c r="M1528" s="10">
        <v>286</v>
      </c>
      <c r="N1528">
        <f t="shared" si="28"/>
        <v>286</v>
      </c>
      <c r="P15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Row],[orderNum]],ТабПозиции[orderSumm])&gt;1500),ABS(N1528*VLOOKUP(ТабПозиции[[#This Row],[orderNum]],ТабЗаказы[#Data],MATCH("Percent",ТабЗаказы[#Headers],0),0))/100,200/COUNTIF(ТабПозиции[orderNum],ТабПозиции[[#This Row],[orderNum]])),0),"")</f>
        <v>43</v>
      </c>
      <c r="Q1528">
        <f>IF(OR(ТабПозиции[[#This Row],[item]]="По штрихкоду",ТабПозиции[[#This Row],[item]]="Посылка"),ТабПозиции[[#This Row],[deliverySumm]]+ТабПозиции[[#This Row],[deliveryPost]],SUM(N1528:P1528))</f>
        <v>329</v>
      </c>
      <c r="R1528" s="41">
        <v>329</v>
      </c>
      <c r="S1528" s="46">
        <f>ТабПозиции[[#This Row],[totalSumm]]-ТабПозиции[[#This Row],[payment]]</f>
        <v>0</v>
      </c>
      <c r="T1528" s="18" t="s">
        <v>960</v>
      </c>
      <c r="U1528" s="40" t="s">
        <v>545</v>
      </c>
      <c r="V1528" s="40" t="str">
        <f>IF(AND(ТабПозиции[[#This Row],[Остаток]]=0,ТабПозиции[[#This Row],[Заказан]]="Да"),"Да","Нет")</f>
        <v>Да</v>
      </c>
      <c r="W1528" s="40" t="s">
        <v>545</v>
      </c>
      <c r="X1528" s="3"/>
      <c r="Y1528"/>
    </row>
    <row r="1529" spans="1:25" ht="15.75" hidden="1" x14ac:dyDescent="0.25">
      <c r="A1529" s="10">
        <v>403</v>
      </c>
      <c r="B1529" s="1">
        <f>IFERROR(VLOOKUP(ТабПозиции[[#This Row],[orderNum]],ТабЗаказы[#Data],MATCH(B$7,ТабЗаказы[#Headers],0),0),"")</f>
        <v>45649</v>
      </c>
      <c r="C1529" t="str">
        <f>MONTH(ТабПозиции[[#This Row],[date]])&amp;"/"&amp;YEAR(ТабПозиции[[#This Row],[date]])</f>
        <v>12/2024</v>
      </c>
      <c r="D1529" s="1" t="str">
        <f>IFERROR(VLOOKUP(ТабПозиции[[#This Row],[orderNum]],ТабЗаказы[#Data],MATCH(D$7,ТабЗаказы[#Headers],0),0),"")</f>
        <v/>
      </c>
      <c r="E1529" s="1" t="str">
        <f>IFERROR(VLOOKUP(ТабПозиции[[#This Row],[orderNum]],ТабЗаказы[#Data],MATCH(E$7,ТабЗаказы[#Headers],0),0),"")</f>
        <v/>
      </c>
      <c r="F1529" s="51" t="s">
        <v>1763</v>
      </c>
      <c r="G1529" s="40" t="s">
        <v>545</v>
      </c>
      <c r="H1529" s="12" t="s">
        <v>2046</v>
      </c>
      <c r="I1529" s="18">
        <v>45652</v>
      </c>
      <c r="J1529" s="10">
        <v>1</v>
      </c>
      <c r="K1529" s="10">
        <v>503</v>
      </c>
      <c r="L1529">
        <f>ТабПозиции[[#This Row],[discountPrice]]*ТабПозиции[[#This Row],[quantity]]</f>
        <v>503</v>
      </c>
      <c r="M1529" s="10">
        <v>503</v>
      </c>
      <c r="N1529">
        <f t="shared" si="28"/>
        <v>503</v>
      </c>
      <c r="P15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Row],[orderNum]],ТабПозиции[orderSumm])&gt;1500),ABS(N1529*VLOOKUP(ТабПозиции[[#This Row],[orderNum]],ТабЗаказы[#Data],MATCH("Percent",ТабЗаказы[#Headers],0),0))/100,200/COUNTIF(ТабПозиции[orderNum],ТабПозиции[[#This Row],[orderNum]])),0),"")</f>
        <v>75</v>
      </c>
      <c r="Q1529">
        <f>IF(OR(ТабПозиции[[#This Row],[item]]="По штрихкоду",ТабПозиции[[#This Row],[item]]="Посылка"),ТабПозиции[[#This Row],[deliverySumm]]+ТабПозиции[[#This Row],[deliveryPost]],SUM(N1529:P1529))</f>
        <v>578</v>
      </c>
      <c r="R1529" s="41">
        <v>578</v>
      </c>
      <c r="S1529" s="46">
        <f>ТабПозиции[[#This Row],[totalSumm]]-ТабПозиции[[#This Row],[payment]]</f>
        <v>0</v>
      </c>
      <c r="T1529" s="18" t="s">
        <v>2047</v>
      </c>
      <c r="U1529" s="40" t="s">
        <v>545</v>
      </c>
      <c r="V1529" s="40" t="str">
        <f>IF(AND(ТабПозиции[[#This Row],[Остаток]]=0,ТабПозиции[[#This Row],[Заказан]]="Да"),"Да","Нет")</f>
        <v>Да</v>
      </c>
      <c r="W1529" s="40" t="s">
        <v>545</v>
      </c>
      <c r="X1529" s="3"/>
      <c r="Y1529"/>
    </row>
    <row r="1530" spans="1:25" hidden="1" x14ac:dyDescent="0.25">
      <c r="A1530" s="10">
        <v>403</v>
      </c>
      <c r="B1530" s="1">
        <f>IFERROR(VLOOKUP(ТабПозиции[[#This Row],[orderNum]],ТабЗаказы[#Data],MATCH(B$7,ТабЗаказы[#Headers],0),0),"")</f>
        <v>45649</v>
      </c>
      <c r="C1530" t="str">
        <f>MONTH(ТабПозиции[[#This Row],[date]])&amp;"/"&amp;YEAR(ТабПозиции[[#This Row],[date]])</f>
        <v>12/2024</v>
      </c>
      <c r="D1530" s="1" t="str">
        <f>IFERROR(VLOOKUP(ТабПозиции[[#This Row],[orderNum]],ТабЗаказы[#Data],MATCH(D$7,ТабЗаказы[#Headers],0),0),"")</f>
        <v/>
      </c>
      <c r="E1530" s="1" t="str">
        <f>IFERROR(VLOOKUP(ТабПозиции[[#This Row],[orderNum]],ТабЗаказы[#Data],MATCH(E$7,ТабЗаказы[#Headers],0),0),"")</f>
        <v/>
      </c>
      <c r="F1530" s="16" t="s">
        <v>1459</v>
      </c>
      <c r="G1530" s="40" t="s">
        <v>545</v>
      </c>
      <c r="H1530" s="12" t="s">
        <v>2085</v>
      </c>
      <c r="I1530" s="18">
        <v>45656</v>
      </c>
      <c r="J1530" s="10">
        <v>1</v>
      </c>
      <c r="K1530" s="10">
        <v>600</v>
      </c>
      <c r="L1530">
        <f>ТабПозиции[[#This Row],[discountPrice]]*ТабПозиции[[#This Row],[quantity]]</f>
        <v>600</v>
      </c>
      <c r="M1530" s="10">
        <v>600</v>
      </c>
      <c r="N1530">
        <f>M1530*J1530</f>
        <v>600</v>
      </c>
      <c r="O1530" s="10">
        <v>136</v>
      </c>
      <c r="P15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Row],[orderNum]],ТабПозиции[orderSumm])&gt;1500),ABS(N1530*VLOOKUP(ТабПозиции[[#This Row],[orderNum]],ТабЗаказы[#Data],MATCH("Percent",ТабЗаказы[#Headers],0),0))/100,200/COUNTIF(ТабПозиции[orderNum],ТабПозиции[[#This Row],[orderNum]])),0),"")</f>
        <v>90</v>
      </c>
      <c r="Q1530">
        <f>IF(OR(ТабПозиции[[#This Row],[item]]="По штрихкоду",ТабПозиции[[#This Row],[item]]="Посылка"),ТабПозиции[[#This Row],[deliverySumm]]+ТабПозиции[[#This Row],[deliveryPost]],SUM(N1530:P1530))</f>
        <v>826</v>
      </c>
      <c r="R1530" s="41">
        <v>826</v>
      </c>
      <c r="S1530" s="46">
        <f>ТабПозиции[[#This Row],[totalSumm]]-ТабПозиции[[#This Row],[payment]]</f>
        <v>0</v>
      </c>
      <c r="T1530" s="18" t="s">
        <v>1005</v>
      </c>
      <c r="U1530" s="40" t="s">
        <v>545</v>
      </c>
      <c r="V1530" s="40" t="str">
        <f>IF(AND(ТабПозиции[[#This Row],[Остаток]]=0,ТабПозиции[[#This Row],[Заказан]]="Да"),"Да","Нет")</f>
        <v>Да</v>
      </c>
      <c r="W1530" s="40" t="s">
        <v>545</v>
      </c>
      <c r="X1530" s="3"/>
      <c r="Y1530"/>
    </row>
    <row r="1531" spans="1:25" hidden="1" x14ac:dyDescent="0.25">
      <c r="A1531" s="10">
        <v>404</v>
      </c>
      <c r="B1531" s="1">
        <f>IFERROR(VLOOKUP(ТабПозиции[[#This Row],[orderNum]],ТабЗаказы[#Data],MATCH(B$7,ТабЗаказы[#Headers],0),0),"")</f>
        <v>45649</v>
      </c>
      <c r="C1531" t="str">
        <f>MONTH(ТабПозиции[[#This Row],[date]])&amp;"/"&amp;YEAR(ТабПозиции[[#This Row],[date]])</f>
        <v>12/2024</v>
      </c>
      <c r="D1531" s="1" t="str">
        <f>IFERROR(VLOOKUP(ТабПозиции[[#This Row],[orderNum]],ТабЗаказы[#Data],MATCH(D$7,ТабЗаказы[#Headers],0),0),"")</f>
        <v/>
      </c>
      <c r="E1531" s="1" t="str">
        <f>IFERROR(VLOOKUP(ТабПозиции[[#This Row],[orderNum]],ТабЗаказы[#Data],MATCH(E$7,ТабЗаказы[#Headers],0),0),"")</f>
        <v/>
      </c>
      <c r="F1531" s="16" t="s">
        <v>2053</v>
      </c>
      <c r="G1531" s="40" t="s">
        <v>545</v>
      </c>
      <c r="I1531" s="18">
        <v>45651</v>
      </c>
      <c r="J1531" s="10">
        <v>1</v>
      </c>
      <c r="K1531" s="10">
        <v>587</v>
      </c>
      <c r="L1531">
        <f>ТабПозиции[[#This Row],[discountPrice]]*ТабПозиции[[#This Row],[quantity]]</f>
        <v>587</v>
      </c>
      <c r="M1531" s="10">
        <v>638</v>
      </c>
      <c r="N1531">
        <f t="shared" si="28"/>
        <v>638</v>
      </c>
      <c r="P15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Row],[orderNum]],ТабПозиции[orderSumm])&gt;1500),ABS(N1531*VLOOKUP(ТабПозиции[[#This Row],[orderNum]],ТабЗаказы[#Data],MATCH("Percent",ТабЗаказы[#Headers],0),0))/100,200/COUNTIF(ТабПозиции[orderNum],ТабПозиции[[#This Row],[orderNum]])),0),"")</f>
        <v>64</v>
      </c>
      <c r="Q1531">
        <f>IF(OR(ТабПозиции[[#This Row],[item]]="По штрихкоду",ТабПозиции[[#This Row],[item]]="Посылка"),ТабПозиции[[#This Row],[deliverySumm]]+ТабПозиции[[#This Row],[deliveryPost]],SUM(N1531:P1531))</f>
        <v>702</v>
      </c>
      <c r="R1531" s="41">
        <v>702</v>
      </c>
      <c r="S1531" s="46">
        <f>ТабПозиции[[#This Row],[totalSumm]]-ТабПозиции[[#This Row],[payment]]</f>
        <v>0</v>
      </c>
      <c r="T1531" s="18" t="s">
        <v>960</v>
      </c>
      <c r="U1531" s="40" t="s">
        <v>545</v>
      </c>
      <c r="V1531" s="40" t="str">
        <f>IF(AND(ТабПозиции[[#This Row],[Остаток]]=0,ТабПозиции[[#This Row],[Заказан]]="Да"),"Да","Нет")</f>
        <v>Да</v>
      </c>
      <c r="W1531" s="40" t="s">
        <v>545</v>
      </c>
      <c r="X1531" s="3"/>
      <c r="Y1531"/>
    </row>
    <row r="1532" spans="1:25" hidden="1" x14ac:dyDescent="0.25">
      <c r="A1532" s="10">
        <v>404</v>
      </c>
      <c r="B1532" s="1">
        <f>IFERROR(VLOOKUP(ТабПозиции[[#This Row],[orderNum]],ТабЗаказы[#Data],MATCH(B$7,ТабЗаказы[#Headers],0),0),"")</f>
        <v>45649</v>
      </c>
      <c r="C1532" t="str">
        <f>MONTH(ТабПозиции[[#This Row],[date]])&amp;"/"&amp;YEAR(ТабПозиции[[#This Row],[date]])</f>
        <v>12/2024</v>
      </c>
      <c r="D1532" s="1" t="str">
        <f>IFERROR(VLOOKUP(ТабПозиции[[#This Row],[orderNum]],ТабЗаказы[#Data],MATCH(D$7,ТабЗаказы[#Headers],0),0),"")</f>
        <v/>
      </c>
      <c r="E1532" s="1" t="str">
        <f>IFERROR(VLOOKUP(ТабПозиции[[#This Row],[orderNum]],ТабЗаказы[#Data],MATCH(E$7,ТабЗаказы[#Headers],0),0),"")</f>
        <v/>
      </c>
      <c r="F1532" s="16" t="s">
        <v>2052</v>
      </c>
      <c r="G1532" s="40" t="s">
        <v>545</v>
      </c>
      <c r="I1532" s="18">
        <v>45651</v>
      </c>
      <c r="J1532" s="10">
        <v>1</v>
      </c>
      <c r="K1532" s="10">
        <v>551</v>
      </c>
      <c r="L1532">
        <f>ТабПозиции[[#This Row],[discountPrice]]*ТабПозиции[[#This Row],[quantity]]</f>
        <v>551</v>
      </c>
      <c r="M1532" s="10">
        <v>599</v>
      </c>
      <c r="N1532">
        <f t="shared" si="28"/>
        <v>599</v>
      </c>
      <c r="P15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Row],[orderNum]],ТабПозиции[orderSumm])&gt;1500),ABS(N1532*VLOOKUP(ТабПозиции[[#This Row],[orderNum]],ТабЗаказы[#Data],MATCH("Percent",ТабЗаказы[#Headers],0),0))/100,200/COUNTIF(ТабПозиции[orderNum],ТабПозиции[[#This Row],[orderNum]])),0),"")</f>
        <v>60</v>
      </c>
      <c r="Q1532">
        <f>IF(OR(ТабПозиции[[#This Row],[item]]="По штрихкоду",ТабПозиции[[#This Row],[item]]="Посылка"),ТабПозиции[[#This Row],[deliverySumm]]+ТабПозиции[[#This Row],[deliveryPost]],SUM(N1532:P1532))</f>
        <v>659</v>
      </c>
      <c r="R1532" s="41">
        <v>659</v>
      </c>
      <c r="S1532" s="46">
        <f>ТабПозиции[[#This Row],[totalSumm]]-ТабПозиции[[#This Row],[payment]]</f>
        <v>0</v>
      </c>
      <c r="T1532" s="18" t="s">
        <v>960</v>
      </c>
      <c r="U1532" s="40" t="s">
        <v>545</v>
      </c>
      <c r="V1532" s="40" t="str">
        <f>IF(AND(ТабПозиции[[#This Row],[Остаток]]=0,ТабПозиции[[#This Row],[Заказан]]="Да"),"Да","Нет")</f>
        <v>Да</v>
      </c>
      <c r="W1532" s="40" t="s">
        <v>545</v>
      </c>
      <c r="X1532" s="3"/>
      <c r="Y1532"/>
    </row>
    <row r="1533" spans="1:25" hidden="1" x14ac:dyDescent="0.25">
      <c r="A1533" s="10">
        <v>404</v>
      </c>
      <c r="B1533" s="1">
        <f>IFERROR(VLOOKUP(ТабПозиции[[#This Row],[orderNum]],ТабЗаказы[#Data],MATCH(B$7,ТабЗаказы[#Headers],0),0),"")</f>
        <v>45649</v>
      </c>
      <c r="C1533" t="str">
        <f>MONTH(ТабПозиции[[#This Row],[date]])&amp;"/"&amp;YEAR(ТабПозиции[[#This Row],[date]])</f>
        <v>12/2024</v>
      </c>
      <c r="D1533" s="1" t="str">
        <f>IFERROR(VLOOKUP(ТабПозиции[[#This Row],[orderNum]],ТабЗаказы[#Data],MATCH(D$7,ТабЗаказы[#Headers],0),0),"")</f>
        <v/>
      </c>
      <c r="E1533" s="1" t="str">
        <f>IFERROR(VLOOKUP(ТабПозиции[[#This Row],[orderNum]],ТабЗаказы[#Data],MATCH(E$7,ТабЗаказы[#Headers],0),0),"")</f>
        <v/>
      </c>
      <c r="F1533" s="16" t="s">
        <v>2054</v>
      </c>
      <c r="G1533" s="40" t="s">
        <v>545</v>
      </c>
      <c r="I1533" s="18">
        <v>45651</v>
      </c>
      <c r="J1533" s="10">
        <v>1</v>
      </c>
      <c r="K1533" s="10">
        <v>642</v>
      </c>
      <c r="L1533">
        <f>ТабПозиции[[#This Row],[discountPrice]]*ТабПозиции[[#This Row],[quantity]]</f>
        <v>642</v>
      </c>
      <c r="M1533" s="10">
        <v>698</v>
      </c>
      <c r="N1533">
        <f t="shared" si="28"/>
        <v>698</v>
      </c>
      <c r="P15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Row],[orderNum]],ТабПозиции[orderSumm])&gt;1500),ABS(N1533*VLOOKUP(ТабПозиции[[#This Row],[orderNum]],ТабЗаказы[#Data],MATCH("Percent",ТабЗаказы[#Headers],0),0))/100,200/COUNTIF(ТабПозиции[orderNum],ТабПозиции[[#This Row],[orderNum]])),0),"")</f>
        <v>70</v>
      </c>
      <c r="Q1533">
        <f>IF(OR(ТабПозиции[[#This Row],[item]]="По штрихкоду",ТабПозиции[[#This Row],[item]]="Посылка"),ТабПозиции[[#This Row],[deliverySumm]]+ТабПозиции[[#This Row],[deliveryPost]],SUM(N1533:P1533))</f>
        <v>768</v>
      </c>
      <c r="R1533" s="41">
        <v>768</v>
      </c>
      <c r="S1533" s="46">
        <f>ТабПозиции[[#This Row],[totalSumm]]-ТабПозиции[[#This Row],[payment]]</f>
        <v>0</v>
      </c>
      <c r="T1533" s="18" t="s">
        <v>960</v>
      </c>
      <c r="U1533" s="40" t="s">
        <v>545</v>
      </c>
      <c r="V1533" s="40" t="str">
        <f>IF(AND(ТабПозиции[[#This Row],[Остаток]]=0,ТабПозиции[[#This Row],[Заказан]]="Да"),"Да","Нет")</f>
        <v>Да</v>
      </c>
      <c r="W1533" s="40" t="s">
        <v>545</v>
      </c>
      <c r="X1533" s="3"/>
      <c r="Y1533"/>
    </row>
    <row r="1534" spans="1:25" hidden="1" x14ac:dyDescent="0.25">
      <c r="A1534" s="10">
        <v>405</v>
      </c>
      <c r="B1534" s="1">
        <f>IFERROR(VLOOKUP(ТабПозиции[[#This Row],[orderNum]],ТабЗаказы[#Data],MATCH(B$7,ТабЗаказы[#Headers],0),0),"")</f>
        <v>45649</v>
      </c>
      <c r="C1534" t="str">
        <f>MONTH(ТабПозиции[[#This Row],[date]])&amp;"/"&amp;YEAR(ТабПозиции[[#This Row],[date]])</f>
        <v>12/2024</v>
      </c>
      <c r="D1534" s="1" t="str">
        <f>IFERROR(VLOOKUP(ТабПозиции[[#This Row],[orderNum]],ТабЗаказы[#Data],MATCH(D$7,ТабЗаказы[#Headers],0),0),"")</f>
        <v/>
      </c>
      <c r="E1534" s="1" t="str">
        <f>IFERROR(VLOOKUP(ТабПозиции[[#This Row],[orderNum]],ТабЗаказы[#Data],MATCH(E$7,ТабЗаказы[#Headers],0),0),"")</f>
        <v/>
      </c>
      <c r="F1534" s="16" t="s">
        <v>2059</v>
      </c>
      <c r="G1534" s="40" t="s">
        <v>552</v>
      </c>
      <c r="I1534" s="18">
        <v>45650</v>
      </c>
      <c r="J1534" s="10">
        <v>1</v>
      </c>
      <c r="K1534" s="10">
        <v>2803</v>
      </c>
      <c r="L1534">
        <f>ТабПозиции[[#This Row],[discountPrice]]*ТабПозиции[[#This Row],[quantity]]</f>
        <v>2803</v>
      </c>
      <c r="M1534" s="10">
        <v>2951</v>
      </c>
      <c r="N1534">
        <f t="shared" si="28"/>
        <v>2951</v>
      </c>
      <c r="P15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Row],[orderNum]],ТабПозиции[orderSumm])&gt;1500),ABS(N1534*VLOOKUP(ТабПозиции[[#This Row],[orderNum]],ТабЗаказы[#Data],MATCH("Percent",ТабЗаказы[#Headers],0),0))/100,200/COUNTIF(ТабПозиции[orderNum],ТабПозиции[[#This Row],[orderNum]])),0),"")</f>
        <v>443</v>
      </c>
      <c r="Q1534">
        <f>IF(OR(ТабПозиции[[#This Row],[item]]="По штрихкоду",ТабПозиции[[#This Row],[item]]="Посылка"),ТабПозиции[[#This Row],[deliverySumm]]+ТабПозиции[[#This Row],[deliveryPost]],SUM(N1534:P1534))</f>
        <v>3394</v>
      </c>
      <c r="R1534" s="41">
        <v>3394</v>
      </c>
      <c r="S1534" s="46">
        <f>ТабПозиции[[#This Row],[totalSumm]]-ТабПозиции[[#This Row],[payment]]</f>
        <v>0</v>
      </c>
      <c r="T1534" s="18" t="s">
        <v>970</v>
      </c>
      <c r="U1534" s="40" t="s">
        <v>545</v>
      </c>
      <c r="V1534" s="40" t="str">
        <f>IF(AND(ТабПозиции[[#This Row],[Остаток]]=0,ТабПозиции[[#This Row],[Заказан]]="Да"),"Да","Нет")</f>
        <v>Да</v>
      </c>
      <c r="W1534" s="40" t="s">
        <v>545</v>
      </c>
      <c r="X1534" s="3"/>
      <c r="Y1534"/>
    </row>
    <row r="1535" spans="1:25" hidden="1" x14ac:dyDescent="0.25">
      <c r="A1535" s="10">
        <v>406</v>
      </c>
      <c r="B1535" s="1">
        <f>IFERROR(VLOOKUP(ТабПозиции[[#This Row],[orderNum]],ТабЗаказы[#Data],MATCH(B$7,ТабЗаказы[#Headers],0),0),"")</f>
        <v>45649</v>
      </c>
      <c r="C1535" t="str">
        <f>MONTH(ТабПозиции[[#This Row],[date]])&amp;"/"&amp;YEAR(ТабПозиции[[#This Row],[date]])</f>
        <v>12/2024</v>
      </c>
      <c r="D1535" s="1" t="str">
        <f>IFERROR(VLOOKUP(ТабПозиции[[#This Row],[orderNum]],ТабЗаказы[#Data],MATCH(D$7,ТабЗаказы[#Headers],0),0),"")</f>
        <v/>
      </c>
      <c r="E1535" s="1" t="str">
        <f>IFERROR(VLOOKUP(ТабПозиции[[#This Row],[orderNum]],ТабЗаказы[#Data],MATCH(E$7,ТабЗаказы[#Headers],0),0),"")</f>
        <v/>
      </c>
      <c r="F1535" s="16" t="s">
        <v>2068</v>
      </c>
      <c r="G1535" s="40" t="s">
        <v>552</v>
      </c>
      <c r="I1535" s="18">
        <v>45652</v>
      </c>
      <c r="J1535" s="10">
        <v>1</v>
      </c>
      <c r="K1535" s="10">
        <v>417</v>
      </c>
      <c r="L1535">
        <f>ТабПозиции[[#This Row],[discountPrice]]*ТабПозиции[[#This Row],[quantity]]</f>
        <v>417</v>
      </c>
      <c r="M1535" s="10">
        <v>439</v>
      </c>
      <c r="N1535">
        <f t="shared" si="28"/>
        <v>439</v>
      </c>
      <c r="P15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Row],[orderNum]],ТабПозиции[orderSumm])&gt;1500),ABS(N1535*VLOOKUP(ТабПозиции[[#This Row],[orderNum]],ТабЗаказы[#Data],MATCH("Percent",ТабЗаказы[#Headers],0),0))/100,200/COUNTIF(ТабПозиции[orderNum],ТабПозиции[[#This Row],[orderNum]])),0),"")</f>
        <v>66</v>
      </c>
      <c r="Q1535">
        <f>IF(OR(ТабПозиции[[#This Row],[item]]="По штрихкоду",ТабПозиции[[#This Row],[item]]="Посылка"),ТабПозиции[[#This Row],[deliverySumm]]+ТабПозиции[[#This Row],[deliveryPost]],SUM(N1535:P1535))</f>
        <v>505</v>
      </c>
      <c r="R1535" s="41">
        <v>505</v>
      </c>
      <c r="S1535" s="46">
        <f>ТабПозиции[[#This Row],[totalSumm]]-ТабПозиции[[#This Row],[payment]]</f>
        <v>0</v>
      </c>
      <c r="T1535" s="18" t="s">
        <v>970</v>
      </c>
      <c r="U1535" s="40" t="s">
        <v>545</v>
      </c>
      <c r="V1535" s="40" t="str">
        <f>IF(AND(ТабПозиции[[#This Row],[Остаток]]=0,ТабПозиции[[#This Row],[Заказан]]="Да"),"Да","Нет")</f>
        <v>Да</v>
      </c>
      <c r="W1535" s="40" t="s">
        <v>545</v>
      </c>
      <c r="X1535" s="3"/>
      <c r="Y1535"/>
    </row>
    <row r="1536" spans="1:25" hidden="1" x14ac:dyDescent="0.25">
      <c r="A1536" s="10">
        <v>406</v>
      </c>
      <c r="B1536" s="1">
        <f>IFERROR(VLOOKUP(ТабПозиции[[#This Row],[orderNum]],ТабЗаказы[#Data],MATCH(B$7,ТабЗаказы[#Headers],0),0),"")</f>
        <v>45649</v>
      </c>
      <c r="C1536" t="str">
        <f>MONTH(ТабПозиции[[#This Row],[date]])&amp;"/"&amp;YEAR(ТабПозиции[[#This Row],[date]])</f>
        <v>12/2024</v>
      </c>
      <c r="D1536" s="1" t="str">
        <f>IFERROR(VLOOKUP(ТабПозиции[[#This Row],[orderNum]],ТабЗаказы[#Data],MATCH(D$7,ТабЗаказы[#Headers],0),0),"")</f>
        <v/>
      </c>
      <c r="E1536" s="1" t="str">
        <f>IFERROR(VLOOKUP(ТабПозиции[[#This Row],[orderNum]],ТабЗаказы[#Data],MATCH(E$7,ТабЗаказы[#Headers],0),0),"")</f>
        <v/>
      </c>
      <c r="F1536" s="16" t="s">
        <v>2061</v>
      </c>
      <c r="G1536" s="40" t="s">
        <v>545</v>
      </c>
      <c r="I1536" s="18">
        <v>45651</v>
      </c>
      <c r="J1536" s="10">
        <v>1</v>
      </c>
      <c r="K1536" s="10">
        <v>412</v>
      </c>
      <c r="L1536">
        <f>ТабПозиции[[#This Row],[discountPrice]]*ТабПозиции[[#This Row],[quantity]]</f>
        <v>412</v>
      </c>
      <c r="M1536" s="10">
        <v>434</v>
      </c>
      <c r="N1536">
        <f t="shared" si="28"/>
        <v>434</v>
      </c>
      <c r="P15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Row],[orderNum]],ТабПозиции[orderSumm])&gt;1500),ABS(N1536*VLOOKUP(ТабПозиции[[#This Row],[orderNum]],ТабЗаказы[#Data],MATCH("Percent",ТабЗаказы[#Headers],0),0))/100,200/COUNTIF(ТабПозиции[orderNum],ТабПозиции[[#This Row],[orderNum]])),0),"")</f>
        <v>65</v>
      </c>
      <c r="Q1536">
        <f>IF(OR(ТабПозиции[[#This Row],[item]]="По штрихкоду",ТабПозиции[[#This Row],[item]]="Посылка"),ТабПозиции[[#This Row],[deliverySumm]]+ТабПозиции[[#This Row],[deliveryPost]],SUM(N1536:P1536))</f>
        <v>499</v>
      </c>
      <c r="R1536" s="41">
        <v>499</v>
      </c>
      <c r="S1536" s="46">
        <f>ТабПозиции[[#This Row],[totalSumm]]-ТабПозиции[[#This Row],[payment]]</f>
        <v>0</v>
      </c>
      <c r="T1536" s="18" t="s">
        <v>970</v>
      </c>
      <c r="U1536" s="40" t="s">
        <v>545</v>
      </c>
      <c r="V1536" s="40" t="str">
        <f>IF(AND(ТабПозиции[[#This Row],[Остаток]]=0,ТабПозиции[[#This Row],[Заказан]]="Да"),"Да","Нет")</f>
        <v>Да</v>
      </c>
      <c r="W1536" s="40" t="s">
        <v>545</v>
      </c>
      <c r="X1536" s="3"/>
      <c r="Y1536"/>
    </row>
    <row r="1537" spans="1:25" hidden="1" x14ac:dyDescent="0.25">
      <c r="A1537" s="10">
        <v>406</v>
      </c>
      <c r="B1537" s="1">
        <f>IFERROR(VLOOKUP(ТабПозиции[[#This Row],[orderNum]],ТабЗаказы[#Data],MATCH(B$7,ТабЗаказы[#Headers],0),0),"")</f>
        <v>45649</v>
      </c>
      <c r="C1537" t="str">
        <f>MONTH(ТабПозиции[[#This Row],[date]])&amp;"/"&amp;YEAR(ТабПозиции[[#This Row],[date]])</f>
        <v>12/2024</v>
      </c>
      <c r="D1537" s="1" t="str">
        <f>IFERROR(VLOOKUP(ТабПозиции[[#This Row],[orderNum]],ТабЗаказы[#Data],MATCH(D$7,ТабЗаказы[#Headers],0),0),"")</f>
        <v/>
      </c>
      <c r="E1537" s="1" t="str">
        <f>IFERROR(VLOOKUP(ТабПозиции[[#This Row],[orderNum]],ТабЗаказы[#Data],MATCH(E$7,ТабЗаказы[#Headers],0),0),"")</f>
        <v/>
      </c>
      <c r="F1537" s="16" t="s">
        <v>2062</v>
      </c>
      <c r="G1537" s="40" t="s">
        <v>545</v>
      </c>
      <c r="I1537" s="18">
        <v>45652</v>
      </c>
      <c r="J1537" s="10">
        <v>1</v>
      </c>
      <c r="K1537" s="10">
        <v>984</v>
      </c>
      <c r="L1537">
        <f>ТабПозиции[[#This Row],[discountPrice]]*ТабПозиции[[#This Row],[quantity]]</f>
        <v>984</v>
      </c>
      <c r="M1537" s="10">
        <v>1036</v>
      </c>
      <c r="N1537">
        <f t="shared" si="28"/>
        <v>1036</v>
      </c>
      <c r="P15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Row],[orderNum]],ТабПозиции[orderSumm])&gt;1500),ABS(N1537*VLOOKUP(ТабПозиции[[#This Row],[orderNum]],ТабЗаказы[#Data],MATCH("Percent",ТабЗаказы[#Headers],0),0))/100,200/COUNTIF(ТабПозиции[orderNum],ТабПозиции[[#This Row],[orderNum]])),0),"")</f>
        <v>155</v>
      </c>
      <c r="Q1537">
        <f>IF(OR(ТабПозиции[[#This Row],[item]]="По штрихкоду",ТабПозиции[[#This Row],[item]]="Посылка"),ТабПозиции[[#This Row],[deliverySumm]]+ТабПозиции[[#This Row],[deliveryPost]],SUM(N1537:P1537))</f>
        <v>1191</v>
      </c>
      <c r="R1537" s="41">
        <v>1191</v>
      </c>
      <c r="S1537" s="46">
        <f>ТабПозиции[[#This Row],[totalSumm]]-ТабПозиции[[#This Row],[payment]]</f>
        <v>0</v>
      </c>
      <c r="T1537" s="18" t="s">
        <v>970</v>
      </c>
      <c r="U1537" s="40" t="s">
        <v>545</v>
      </c>
      <c r="V1537" s="40" t="str">
        <f>IF(AND(ТабПозиции[[#This Row],[Остаток]]=0,ТабПозиции[[#This Row],[Заказан]]="Да"),"Да","Нет")</f>
        <v>Да</v>
      </c>
      <c r="W1537" s="40" t="s">
        <v>545</v>
      </c>
      <c r="X1537" s="3"/>
      <c r="Y1537"/>
    </row>
    <row r="1538" spans="1:25" hidden="1" x14ac:dyDescent="0.25">
      <c r="A1538" s="10">
        <v>406</v>
      </c>
      <c r="B1538" s="1">
        <f>IFERROR(VLOOKUP(ТабПозиции[[#This Row],[orderNum]],ТабЗаказы[#Data],MATCH(B$7,ТабЗаказы[#Headers],0),0),"")</f>
        <v>45649</v>
      </c>
      <c r="C1538" t="str">
        <f>MONTH(ТабПозиции[[#This Row],[date]])&amp;"/"&amp;YEAR(ТабПозиции[[#This Row],[date]])</f>
        <v>12/2024</v>
      </c>
      <c r="D1538" s="1" t="str">
        <f>IFERROR(VLOOKUP(ТабПозиции[[#This Row],[orderNum]],ТабЗаказы[#Data],MATCH(D$7,ТабЗаказы[#Headers],0),0),"")</f>
        <v/>
      </c>
      <c r="E1538" s="1" t="str">
        <f>IFERROR(VLOOKUP(ТабПозиции[[#This Row],[orderNum]],ТабЗаказы[#Data],MATCH(E$7,ТабЗаказы[#Headers],0),0),"")</f>
        <v/>
      </c>
      <c r="F1538" s="16" t="s">
        <v>2063</v>
      </c>
      <c r="G1538" s="40" t="s">
        <v>545</v>
      </c>
      <c r="I1538" s="18">
        <v>45652</v>
      </c>
      <c r="J1538" s="10">
        <v>1</v>
      </c>
      <c r="K1538" s="10">
        <v>1444</v>
      </c>
      <c r="L1538">
        <f>ТабПозиции[[#This Row],[discountPrice]]*ТабПозиции[[#This Row],[quantity]]</f>
        <v>1444</v>
      </c>
      <c r="M1538" s="10">
        <v>1521</v>
      </c>
      <c r="N1538">
        <f t="shared" si="28"/>
        <v>1521</v>
      </c>
      <c r="P15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Row],[orderNum]],ТабПозиции[orderSumm])&gt;1500),ABS(N1538*VLOOKUP(ТабПозиции[[#This Row],[orderNum]],ТабЗаказы[#Data],MATCH("Percent",ТабЗаказы[#Headers],0),0))/100,200/COUNTIF(ТабПозиции[orderNum],ТабПозиции[[#This Row],[orderNum]])),0),"")</f>
        <v>228</v>
      </c>
      <c r="Q1538">
        <f>IF(OR(ТабПозиции[[#This Row],[item]]="По штрихкоду",ТабПозиции[[#This Row],[item]]="Посылка"),ТабПозиции[[#This Row],[deliverySumm]]+ТабПозиции[[#This Row],[deliveryPost]],SUM(N1538:P1538))</f>
        <v>1749</v>
      </c>
      <c r="R1538" s="41">
        <v>1749</v>
      </c>
      <c r="S1538" s="46">
        <f>ТабПозиции[[#This Row],[totalSumm]]-ТабПозиции[[#This Row],[payment]]</f>
        <v>0</v>
      </c>
      <c r="T1538" s="18" t="s">
        <v>970</v>
      </c>
      <c r="U1538" s="40" t="s">
        <v>545</v>
      </c>
      <c r="V1538" s="40" t="str">
        <f>IF(AND(ТабПозиции[[#This Row],[Остаток]]=0,ТабПозиции[[#This Row],[Заказан]]="Да"),"Да","Нет")</f>
        <v>Да</v>
      </c>
      <c r="W1538" s="40" t="s">
        <v>545</v>
      </c>
      <c r="X1538" s="3"/>
      <c r="Y1538"/>
    </row>
    <row r="1539" spans="1:25" hidden="1" x14ac:dyDescent="0.25">
      <c r="A1539" s="10">
        <v>406</v>
      </c>
      <c r="B1539" s="1">
        <f>IFERROR(VLOOKUP(ТабПозиции[[#This Row],[orderNum]],ТабЗаказы[#Data],MATCH(B$7,ТабЗаказы[#Headers],0),0),"")</f>
        <v>45649</v>
      </c>
      <c r="C1539" t="str">
        <f>MONTH(ТабПозиции[[#This Row],[date]])&amp;"/"&amp;YEAR(ТабПозиции[[#This Row],[date]])</f>
        <v>12/2024</v>
      </c>
      <c r="D1539" s="1" t="str">
        <f>IFERROR(VLOOKUP(ТабПозиции[[#This Row],[orderNum]],ТабЗаказы[#Data],MATCH(D$7,ТабЗаказы[#Headers],0),0),"")</f>
        <v/>
      </c>
      <c r="E1539" s="1" t="str">
        <f>IFERROR(VLOOKUP(ТабПозиции[[#This Row],[orderNum]],ТабЗаказы[#Data],MATCH(E$7,ТабЗаказы[#Headers],0),0),"")</f>
        <v/>
      </c>
      <c r="F1539" s="16" t="s">
        <v>2064</v>
      </c>
      <c r="G1539" s="40" t="s">
        <v>545</v>
      </c>
      <c r="I1539" s="18">
        <v>45652</v>
      </c>
      <c r="J1539" s="10">
        <v>1</v>
      </c>
      <c r="K1539" s="10">
        <v>420</v>
      </c>
      <c r="L1539">
        <f>ТабПозиции[[#This Row],[discountPrice]]*ТабПозиции[[#This Row],[quantity]]</f>
        <v>420</v>
      </c>
      <c r="M1539" s="10">
        <v>429</v>
      </c>
      <c r="N1539">
        <f t="shared" si="28"/>
        <v>429</v>
      </c>
      <c r="P15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Row],[orderNum]],ТабПозиции[orderSumm])&gt;1500),ABS(N1539*VLOOKUP(ТабПозиции[[#This Row],[orderNum]],ТабЗаказы[#Data],MATCH("Percent",ТабЗаказы[#Headers],0),0))/100,200/COUNTIF(ТабПозиции[orderNum],ТабПозиции[[#This Row],[orderNum]])),0),"")</f>
        <v>64</v>
      </c>
      <c r="Q1539">
        <f>IF(OR(ТабПозиции[[#This Row],[item]]="По штрихкоду",ТабПозиции[[#This Row],[item]]="Посылка"),ТабПозиции[[#This Row],[deliverySumm]]+ТабПозиции[[#This Row],[deliveryPost]],SUM(N1539:P1539))</f>
        <v>493</v>
      </c>
      <c r="R1539" s="41">
        <v>493</v>
      </c>
      <c r="S1539" s="46">
        <f>ТабПозиции[[#This Row],[totalSumm]]-ТабПозиции[[#This Row],[payment]]</f>
        <v>0</v>
      </c>
      <c r="T1539" s="18" t="s">
        <v>960</v>
      </c>
      <c r="U1539" s="40" t="s">
        <v>545</v>
      </c>
      <c r="V1539" s="40" t="str">
        <f>IF(AND(ТабПозиции[[#This Row],[Остаток]]=0,ТабПозиции[[#This Row],[Заказан]]="Да"),"Да","Нет")</f>
        <v>Да</v>
      </c>
      <c r="W1539" s="40" t="s">
        <v>545</v>
      </c>
      <c r="X1539" s="3"/>
      <c r="Y1539"/>
    </row>
    <row r="1540" spans="1:25" hidden="1" x14ac:dyDescent="0.25">
      <c r="A1540" s="10">
        <v>406</v>
      </c>
      <c r="B1540" s="1">
        <f>IFERROR(VLOOKUP(ТабПозиции[[#This Row],[orderNum]],ТабЗаказы[#Data],MATCH(B$7,ТабЗаказы[#Headers],0),0),"")</f>
        <v>45649</v>
      </c>
      <c r="C1540" t="str">
        <f>MONTH(ТабПозиции[[#This Row],[date]])&amp;"/"&amp;YEAR(ТабПозиции[[#This Row],[date]])</f>
        <v>12/2024</v>
      </c>
      <c r="D1540" s="1" t="str">
        <f>IFERROR(VLOOKUP(ТабПозиции[[#This Row],[orderNum]],ТабЗаказы[#Data],MATCH(D$7,ТабЗаказы[#Headers],0),0),"")</f>
        <v/>
      </c>
      <c r="E1540" s="1" t="str">
        <f>IFERROR(VLOOKUP(ТабПозиции[[#This Row],[orderNum]],ТабЗаказы[#Data],MATCH(E$7,ТабЗаказы[#Headers],0),0),"")</f>
        <v/>
      </c>
      <c r="F1540" s="16" t="s">
        <v>2065</v>
      </c>
      <c r="G1540" s="40" t="s">
        <v>545</v>
      </c>
      <c r="I1540" s="18">
        <v>45652</v>
      </c>
      <c r="J1540" s="10">
        <v>1</v>
      </c>
      <c r="K1540" s="10">
        <v>495</v>
      </c>
      <c r="L1540">
        <f>ТабПозиции[[#This Row],[discountPrice]]*ТабПозиции[[#This Row],[quantity]]</f>
        <v>495</v>
      </c>
      <c r="M1540" s="10">
        <v>522</v>
      </c>
      <c r="N1540">
        <f t="shared" si="28"/>
        <v>522</v>
      </c>
      <c r="P15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Row],[orderNum]],ТабПозиции[orderSumm])&gt;1500),ABS(N1540*VLOOKUP(ТабПозиции[[#This Row],[orderNum]],ТабЗаказы[#Data],MATCH("Percent",ТабЗаказы[#Headers],0),0))/100,200/COUNTIF(ТабПозиции[orderNum],ТабПозиции[[#This Row],[orderNum]])),0),"")</f>
        <v>78</v>
      </c>
      <c r="Q1540">
        <f>IF(OR(ТабПозиции[[#This Row],[item]]="По штрихкоду",ТабПозиции[[#This Row],[item]]="Посылка"),ТабПозиции[[#This Row],[deliverySumm]]+ТабПозиции[[#This Row],[deliveryPost]],SUM(N1540:P1540))</f>
        <v>600</v>
      </c>
      <c r="R1540" s="41">
        <v>600</v>
      </c>
      <c r="S1540" s="46">
        <f>ТабПозиции[[#This Row],[totalSumm]]-ТабПозиции[[#This Row],[payment]]</f>
        <v>0</v>
      </c>
      <c r="T1540" s="18" t="s">
        <v>970</v>
      </c>
      <c r="U1540" s="40" t="s">
        <v>545</v>
      </c>
      <c r="V1540" s="40" t="str">
        <f>IF(AND(ТабПозиции[[#This Row],[Остаток]]=0,ТабПозиции[[#This Row],[Заказан]]="Да"),"Да","Нет")</f>
        <v>Да</v>
      </c>
      <c r="W1540" s="40" t="s">
        <v>545</v>
      </c>
      <c r="X1540" s="3"/>
      <c r="Y1540"/>
    </row>
    <row r="1541" spans="1:25" hidden="1" x14ac:dyDescent="0.25">
      <c r="A1541" s="10">
        <v>406</v>
      </c>
      <c r="B1541" s="1">
        <f>IFERROR(VLOOKUP(ТабПозиции[[#This Row],[orderNum]],ТабЗаказы[#Data],MATCH(B$7,ТабЗаказы[#Headers],0),0),"")</f>
        <v>45649</v>
      </c>
      <c r="C1541" t="str">
        <f>MONTH(ТабПозиции[[#This Row],[date]])&amp;"/"&amp;YEAR(ТабПозиции[[#This Row],[date]])</f>
        <v>12/2024</v>
      </c>
      <c r="D1541" s="1" t="str">
        <f>IFERROR(VLOOKUP(ТабПозиции[[#This Row],[orderNum]],ТабЗаказы[#Data],MATCH(D$7,ТабЗаказы[#Headers],0),0),"")</f>
        <v/>
      </c>
      <c r="E1541" s="1" t="str">
        <f>IFERROR(VLOOKUP(ТабПозиции[[#This Row],[orderNum]],ТабЗаказы[#Data],MATCH(E$7,ТабЗаказы[#Headers],0),0),"")</f>
        <v/>
      </c>
      <c r="F1541" s="16" t="s">
        <v>2066</v>
      </c>
      <c r="G1541" s="40" t="s">
        <v>545</v>
      </c>
      <c r="I1541" s="18">
        <v>45651</v>
      </c>
      <c r="J1541" s="10">
        <v>1</v>
      </c>
      <c r="K1541" s="10">
        <v>143</v>
      </c>
      <c r="L1541">
        <f>ТабПозиции[[#This Row],[discountPrice]]*ТабПозиции[[#This Row],[quantity]]</f>
        <v>143</v>
      </c>
      <c r="M1541" s="10">
        <v>151</v>
      </c>
      <c r="N1541">
        <f t="shared" si="28"/>
        <v>151</v>
      </c>
      <c r="P154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Row],[orderNum]],ТабПозиции[orderSumm])&gt;1500),ABS(N1541*VLOOKUP(ТабПозиции[[#This Row],[orderNum]],ТабЗаказы[#Data],MATCH("Percent",ТабЗаказы[#Headers],0),0))/100,200/COUNTIF(ТабПозиции[orderNum],ТабПозиции[[#This Row],[orderNum]])),0),"")</f>
        <v>23</v>
      </c>
      <c r="Q1541">
        <f>IF(OR(ТабПозиции[[#This Row],[item]]="По штрихкоду",ТабПозиции[[#This Row],[item]]="Посылка"),ТабПозиции[[#This Row],[deliverySumm]]+ТабПозиции[[#This Row],[deliveryPost]],SUM(N1541:P1541))</f>
        <v>174</v>
      </c>
      <c r="R1541" s="41">
        <v>174</v>
      </c>
      <c r="S1541" s="46">
        <f>ТабПозиции[[#This Row],[totalSumm]]-ТабПозиции[[#This Row],[payment]]</f>
        <v>0</v>
      </c>
      <c r="T1541" s="18" t="s">
        <v>970</v>
      </c>
      <c r="U1541" s="40" t="s">
        <v>545</v>
      </c>
      <c r="V1541" s="40" t="str">
        <f>IF(AND(ТабПозиции[[#This Row],[Остаток]]=0,ТабПозиции[[#This Row],[Заказан]]="Да"),"Да","Нет")</f>
        <v>Да</v>
      </c>
      <c r="W1541" s="40" t="s">
        <v>545</v>
      </c>
      <c r="X1541" s="3"/>
      <c r="Y1541"/>
    </row>
    <row r="1542" spans="1:25" hidden="1" x14ac:dyDescent="0.25">
      <c r="A1542" s="10">
        <v>406</v>
      </c>
      <c r="B1542" s="1">
        <f>IFERROR(VLOOKUP(ТабПозиции[[#This Row],[orderNum]],ТабЗаказы[#Data],MATCH(B$7,ТабЗаказы[#Headers],0),0),"")</f>
        <v>45649</v>
      </c>
      <c r="C1542" t="str">
        <f>MONTH(ТабПозиции[[#This Row],[date]])&amp;"/"&amp;YEAR(ТабПозиции[[#This Row],[date]])</f>
        <v>12/2024</v>
      </c>
      <c r="D1542" s="1" t="str">
        <f>IFERROR(VLOOKUP(ТабПозиции[[#This Row],[orderNum]],ТабЗаказы[#Data],MATCH(D$7,ТабЗаказы[#Headers],0),0),"")</f>
        <v/>
      </c>
      <c r="E1542" s="1" t="str">
        <f>IFERROR(VLOOKUP(ТабПозиции[[#This Row],[orderNum]],ТабЗаказы[#Data],MATCH(E$7,ТабЗаказы[#Headers],0),0),"")</f>
        <v/>
      </c>
      <c r="F1542" s="16" t="s">
        <v>2026</v>
      </c>
      <c r="G1542" s="40" t="s">
        <v>545</v>
      </c>
      <c r="I1542" s="18">
        <v>45652</v>
      </c>
      <c r="J1542" s="10">
        <v>1</v>
      </c>
      <c r="K1542" s="10">
        <v>746</v>
      </c>
      <c r="L1542">
        <f>ТабПозиции[[#This Row],[discountPrice]]*ТабПозиции[[#This Row],[quantity]]</f>
        <v>746</v>
      </c>
      <c r="M1542" s="10">
        <v>786</v>
      </c>
      <c r="N1542">
        <f t="shared" si="28"/>
        <v>786</v>
      </c>
      <c r="P154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Row],[orderNum]],ТабПозиции[orderSumm])&gt;1500),ABS(N1542*VLOOKUP(ТабПозиции[[#This Row],[orderNum]],ТабЗаказы[#Data],MATCH("Percent",ТабЗаказы[#Headers],0),0))/100,200/COUNTIF(ТабПозиции[orderNum],ТабПозиции[[#This Row],[orderNum]])),0),"")</f>
        <v>118</v>
      </c>
      <c r="Q1542">
        <f>IF(OR(ТабПозиции[[#This Row],[item]]="По штрихкоду",ТабПозиции[[#This Row],[item]]="Посылка"),ТабПозиции[[#This Row],[deliverySumm]]+ТабПозиции[[#This Row],[deliveryPost]],SUM(N1542:P1542))</f>
        <v>904</v>
      </c>
      <c r="R1542" s="41">
        <v>904</v>
      </c>
      <c r="S1542" s="46">
        <f>ТабПозиции[[#This Row],[totalSumm]]-ТабПозиции[[#This Row],[payment]]</f>
        <v>0</v>
      </c>
      <c r="T1542" s="18" t="s">
        <v>970</v>
      </c>
      <c r="U1542" s="40" t="s">
        <v>545</v>
      </c>
      <c r="V1542" s="40" t="str">
        <f>IF(AND(ТабПозиции[[#This Row],[Остаток]]=0,ТабПозиции[[#This Row],[Заказан]]="Да"),"Да","Нет")</f>
        <v>Да</v>
      </c>
      <c r="W1542" s="40" t="s">
        <v>545</v>
      </c>
      <c r="X1542" s="3"/>
      <c r="Y1542"/>
    </row>
    <row r="1543" spans="1:25" hidden="1" x14ac:dyDescent="0.25">
      <c r="A1543" s="10">
        <v>406</v>
      </c>
      <c r="B1543" s="1">
        <f>IFERROR(VLOOKUP(ТабПозиции[[#This Row],[orderNum]],ТабЗаказы[#Data],MATCH(B$7,ТабЗаказы[#Headers],0),0),"")</f>
        <v>45649</v>
      </c>
      <c r="C1543" t="str">
        <f>MONTH(ТабПозиции[[#This Row],[date]])&amp;"/"&amp;YEAR(ТабПозиции[[#This Row],[date]])</f>
        <v>12/2024</v>
      </c>
      <c r="D1543" s="1" t="str">
        <f>IFERROR(VLOOKUP(ТабПозиции[[#This Row],[orderNum]],ТабЗаказы[#Data],MATCH(D$7,ТабЗаказы[#Headers],0),0),"")</f>
        <v/>
      </c>
      <c r="E1543" s="1" t="str">
        <f>IFERROR(VLOOKUP(ТабПозиции[[#This Row],[orderNum]],ТабЗаказы[#Data],MATCH(E$7,ТабЗаказы[#Headers],0),0),"")</f>
        <v/>
      </c>
      <c r="F1543" s="16" t="s">
        <v>2067</v>
      </c>
      <c r="G1543" s="40" t="s">
        <v>545</v>
      </c>
      <c r="I1543" s="18">
        <v>45652</v>
      </c>
      <c r="J1543" s="10">
        <v>1</v>
      </c>
      <c r="K1543" s="10">
        <v>636</v>
      </c>
      <c r="L1543">
        <f>ТабПозиции[[#This Row],[discountPrice]]*ТабПозиции[[#This Row],[quantity]]</f>
        <v>636</v>
      </c>
      <c r="M1543" s="10">
        <v>670</v>
      </c>
      <c r="N1543">
        <f t="shared" si="28"/>
        <v>670</v>
      </c>
      <c r="P154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Row],[orderNum]],ТабПозиции[orderSumm])&gt;1500),ABS(N1543*VLOOKUP(ТабПозиции[[#This Row],[orderNum]],ТабЗаказы[#Data],MATCH("Percent",ТабЗаказы[#Headers],0),0))/100,200/COUNTIF(ТабПозиции[orderNum],ТабПозиции[[#This Row],[orderNum]])),0),"")</f>
        <v>101</v>
      </c>
      <c r="Q1543">
        <f>IF(OR(ТабПозиции[[#This Row],[item]]="По штрихкоду",ТабПозиции[[#This Row],[item]]="Посылка"),ТабПозиции[[#This Row],[deliverySumm]]+ТабПозиции[[#This Row],[deliveryPost]],SUM(N1543:P1543))</f>
        <v>771</v>
      </c>
      <c r="R1543" s="41">
        <v>771</v>
      </c>
      <c r="S1543" s="46">
        <f>ТабПозиции[[#This Row],[totalSumm]]-ТабПозиции[[#This Row],[payment]]</f>
        <v>0</v>
      </c>
      <c r="T1543" s="18" t="s">
        <v>970</v>
      </c>
      <c r="U1543" s="40" t="s">
        <v>545</v>
      </c>
      <c r="V1543" s="40" t="str">
        <f>IF(AND(ТабПозиции[[#This Row],[Остаток]]=0,ТабПозиции[[#This Row],[Заказан]]="Да"),"Да","Нет")</f>
        <v>Да</v>
      </c>
      <c r="W1543" s="40" t="s">
        <v>545</v>
      </c>
      <c r="X1543" s="3"/>
      <c r="Y1543"/>
    </row>
    <row r="1544" spans="1:25" hidden="1" x14ac:dyDescent="0.25">
      <c r="A1544" s="10">
        <v>407</v>
      </c>
      <c r="B1544" s="1">
        <f>IFERROR(VLOOKUP(ТабПозиции[[#This Row],[orderNum]],ТабЗаказы[#Data],MATCH(B$7,ТабЗаказы[#Headers],0),0),"")</f>
        <v>45650</v>
      </c>
      <c r="C1544" t="str">
        <f>MONTH(ТабПозиции[[#This Row],[date]])&amp;"/"&amp;YEAR(ТабПозиции[[#This Row],[date]])</f>
        <v>12/2024</v>
      </c>
      <c r="D1544" s="1" t="str">
        <f>IFERROR(VLOOKUP(ТабПозиции[[#This Row],[orderNum]],ТабЗаказы[#Data],MATCH(D$7,ТабЗаказы[#Headers],0),0),"")</f>
        <v/>
      </c>
      <c r="E1544" s="1" t="str">
        <f>IFERROR(VLOOKUP(ТабПозиции[[#This Row],[orderNum]],ТабЗаказы[#Data],MATCH(E$7,ТабЗаказы[#Headers],0),0),"")</f>
        <v/>
      </c>
      <c r="F1544" s="16" t="s">
        <v>1332</v>
      </c>
      <c r="G1544" s="40" t="s">
        <v>545</v>
      </c>
      <c r="I1544" s="18">
        <v>45653</v>
      </c>
      <c r="J1544" s="10">
        <v>1</v>
      </c>
      <c r="K1544" s="10">
        <v>5743</v>
      </c>
      <c r="L1544">
        <f>ТабПозиции[[#This Row],[discountPrice]]*ТабПозиции[[#This Row],[quantity]]</f>
        <v>5743</v>
      </c>
      <c r="M1544" s="10">
        <v>6148</v>
      </c>
      <c r="N1544">
        <f t="shared" si="28"/>
        <v>6148</v>
      </c>
      <c r="P154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Row],[orderNum]],ТабПозиции[orderSumm])&gt;1500),ABS(N1544*VLOOKUP(ТабПозиции[[#This Row],[orderNum]],ТабЗаказы[#Data],MATCH("Percent",ТабЗаказы[#Headers],0),0))/100,200/COUNTIF(ТабПозиции[orderNum],ТабПозиции[[#This Row],[orderNum]])),0),"")</f>
        <v>922</v>
      </c>
      <c r="Q1544">
        <f>IF(OR(ТабПозиции[[#This Row],[item]]="По штрихкоду",ТабПозиции[[#This Row],[item]]="Посылка"),ТабПозиции[[#This Row],[deliverySumm]]+ТабПозиции[[#This Row],[deliveryPost]],SUM(N1544:P1544))</f>
        <v>7070</v>
      </c>
      <c r="R1544" s="41">
        <v>7070</v>
      </c>
      <c r="S1544" s="46">
        <f>ТабПозиции[[#This Row],[totalSumm]]-ТабПозиции[[#This Row],[payment]]</f>
        <v>0</v>
      </c>
      <c r="T1544" s="18" t="s">
        <v>1021</v>
      </c>
      <c r="U1544" s="40" t="s">
        <v>545</v>
      </c>
      <c r="V1544" s="40" t="str">
        <f>IF(AND(ТабПозиции[[#This Row],[Остаток]]=0,ТабПозиции[[#This Row],[Заказан]]="Да"),"Да","Нет")</f>
        <v>Да</v>
      </c>
      <c r="W1544" s="40" t="str">
        <f>IF(AND(ТабПозиции[[#This Row],[Остаток]]=0,ТабПозиции[[#This Row],[Заказан]]="Да"),"Да","Нет")</f>
        <v>Да</v>
      </c>
      <c r="X1544" s="3"/>
      <c r="Y1544"/>
    </row>
    <row r="1545" spans="1:25" hidden="1" x14ac:dyDescent="0.25">
      <c r="A1545" s="10">
        <v>408</v>
      </c>
      <c r="B1545" s="1">
        <f>IFERROR(VLOOKUP(ТабПозиции[[#This Row],[orderNum]],ТабЗаказы[#Data],MATCH(B$7,ТабЗаказы[#Headers],0),0),"")</f>
        <v>45650</v>
      </c>
      <c r="C1545" t="str">
        <f>MONTH(ТабПозиции[[#This Row],[date]])&amp;"/"&amp;YEAR(ТабПозиции[[#This Row],[date]])</f>
        <v>12/2024</v>
      </c>
      <c r="D1545" s="1" t="str">
        <f>IFERROR(VLOOKUP(ТабПозиции[[#This Row],[orderNum]],ТабЗаказы[#Data],MATCH(D$7,ТабЗаказы[#Headers],0),0),"")</f>
        <v/>
      </c>
      <c r="E1545" s="1" t="str">
        <f>IFERROR(VLOOKUP(ТабПозиции[[#This Row],[orderNum]],ТабЗаказы[#Data],MATCH(E$7,ТабЗаказы[#Headers],0),0),"")</f>
        <v/>
      </c>
      <c r="F1545" s="16" t="s">
        <v>2070</v>
      </c>
      <c r="G1545" s="40" t="s">
        <v>545</v>
      </c>
      <c r="I1545" s="18">
        <v>45653</v>
      </c>
      <c r="J1545" s="10">
        <v>1</v>
      </c>
      <c r="K1545" s="10">
        <v>204</v>
      </c>
      <c r="L1545">
        <f>ТабПозиции[[#This Row],[discountPrice]]*ТабПозиции[[#This Row],[quantity]]</f>
        <v>204</v>
      </c>
      <c r="M1545" s="10">
        <v>215</v>
      </c>
      <c r="N1545">
        <f t="shared" ref="N1545:N1605" si="29">M1545*J1545</f>
        <v>215</v>
      </c>
      <c r="P154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Row],[orderNum]],ТабПозиции[orderSumm])&gt;1500),ABS(N1545*VLOOKUP(ТабПозиции[[#This Row],[orderNum]],ТабЗаказы[#Data],MATCH("Percent",ТабЗаказы[#Headers],0),0))/100,200/COUNTIF(ТабПозиции[orderNum],ТабПозиции[[#This Row],[orderNum]])),0),"")</f>
        <v>40</v>
      </c>
      <c r="Q1545">
        <f>IF(OR(ТабПозиции[[#This Row],[item]]="По штрихкоду",ТабПозиции[[#This Row],[item]]="Посылка"),ТабПозиции[[#This Row],[deliverySumm]]+ТабПозиции[[#This Row],[deliveryPost]],SUM(N1545:P1545))</f>
        <v>255</v>
      </c>
      <c r="R1545" s="41">
        <v>255</v>
      </c>
      <c r="S1545" s="46">
        <f>ТабПозиции[[#This Row],[totalSumm]]-ТабПозиции[[#This Row],[payment]]</f>
        <v>0</v>
      </c>
      <c r="T1545" s="18" t="s">
        <v>970</v>
      </c>
      <c r="U1545" s="40" t="s">
        <v>545</v>
      </c>
      <c r="V1545" s="40" t="str">
        <f>IF(AND(ТабПозиции[[#This Row],[Остаток]]=0,ТабПозиции[[#This Row],[Заказан]]="Да"),"Да","Нет")</f>
        <v>Да</v>
      </c>
      <c r="W1545" s="40" t="s">
        <v>545</v>
      </c>
      <c r="X1545" s="3"/>
      <c r="Y1545"/>
    </row>
    <row r="1546" spans="1:25" hidden="1" x14ac:dyDescent="0.25">
      <c r="A1546" s="10">
        <v>408</v>
      </c>
      <c r="B1546" s="1">
        <f>IFERROR(VLOOKUP(ТабПозиции[[#This Row],[orderNum]],ТабЗаказы[#Data],MATCH(B$7,ТабЗаказы[#Headers],0),0),"")</f>
        <v>45650</v>
      </c>
      <c r="C1546" t="str">
        <f>MONTH(ТабПозиции[[#This Row],[date]])&amp;"/"&amp;YEAR(ТабПозиции[[#This Row],[date]])</f>
        <v>12/2024</v>
      </c>
      <c r="D1546" s="1" t="str">
        <f>IFERROR(VLOOKUP(ТабПозиции[[#This Row],[orderNum]],ТабЗаказы[#Data],MATCH(D$7,ТабЗаказы[#Headers],0),0),"")</f>
        <v/>
      </c>
      <c r="E1546" s="1" t="str">
        <f>IFERROR(VLOOKUP(ТабПозиции[[#This Row],[orderNum]],ТабЗаказы[#Data],MATCH(E$7,ТабЗаказы[#Headers],0),0),"")</f>
        <v/>
      </c>
      <c r="F1546" s="16" t="s">
        <v>2071</v>
      </c>
      <c r="G1546" s="40" t="s">
        <v>545</v>
      </c>
      <c r="I1546" s="18">
        <v>45653</v>
      </c>
      <c r="J1546" s="10">
        <v>1</v>
      </c>
      <c r="K1546" s="10">
        <v>117</v>
      </c>
      <c r="L1546">
        <f>ТабПозиции[[#This Row],[discountPrice]]*ТабПозиции[[#This Row],[quantity]]</f>
        <v>117</v>
      </c>
      <c r="M1546" s="10">
        <v>124</v>
      </c>
      <c r="N1546">
        <f t="shared" si="29"/>
        <v>124</v>
      </c>
      <c r="P154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Row],[orderNum]],ТабПозиции[orderSumm])&gt;1500),ABS(N1546*VLOOKUP(ТабПозиции[[#This Row],[orderNum]],ТабЗаказы[#Data],MATCH("Percent",ТабЗаказы[#Headers],0),0))/100,200/COUNTIF(ТабПозиции[orderNum],ТабПозиции[[#This Row],[orderNum]])),0),"")</f>
        <v>40</v>
      </c>
      <c r="Q1546">
        <f>IF(OR(ТабПозиции[[#This Row],[item]]="По штрихкоду",ТабПозиции[[#This Row],[item]]="Посылка"),ТабПозиции[[#This Row],[deliverySumm]]+ТабПозиции[[#This Row],[deliveryPost]],SUM(N1546:P1546))</f>
        <v>164</v>
      </c>
      <c r="R1546" s="41">
        <v>164</v>
      </c>
      <c r="S1546" s="46">
        <f>ТабПозиции[[#This Row],[totalSumm]]-ТабПозиции[[#This Row],[payment]]</f>
        <v>0</v>
      </c>
      <c r="T1546" s="18" t="s">
        <v>970</v>
      </c>
      <c r="U1546" s="40" t="s">
        <v>545</v>
      </c>
      <c r="V1546" s="40" t="str">
        <f>IF(AND(ТабПозиции[[#This Row],[Остаток]]=0,ТабПозиции[[#This Row],[Заказан]]="Да"),"Да","Нет")</f>
        <v>Да</v>
      </c>
      <c r="W1546" s="40" t="s">
        <v>545</v>
      </c>
      <c r="X1546" s="3"/>
      <c r="Y1546"/>
    </row>
    <row r="1547" spans="1:25" hidden="1" x14ac:dyDescent="0.25">
      <c r="A1547" s="10">
        <v>408</v>
      </c>
      <c r="B1547" s="1">
        <f>IFERROR(VLOOKUP(ТабПозиции[[#This Row],[orderNum]],ТабЗаказы[#Data],MATCH(B$7,ТабЗаказы[#Headers],0),0),"")</f>
        <v>45650</v>
      </c>
      <c r="C1547" t="str">
        <f>MONTH(ТабПозиции[[#This Row],[date]])&amp;"/"&amp;YEAR(ТабПозиции[[#This Row],[date]])</f>
        <v>12/2024</v>
      </c>
      <c r="D1547" s="1" t="str">
        <f>IFERROR(VLOOKUP(ТабПозиции[[#This Row],[orderNum]],ТабЗаказы[#Data],MATCH(D$7,ТабЗаказы[#Headers],0),0),"")</f>
        <v/>
      </c>
      <c r="E1547" s="1" t="str">
        <f>IFERROR(VLOOKUP(ТабПозиции[[#This Row],[orderNum]],ТабЗаказы[#Data],MATCH(E$7,ТабЗаказы[#Headers],0),0),"")</f>
        <v/>
      </c>
      <c r="F1547" s="16" t="s">
        <v>2072</v>
      </c>
      <c r="G1547" s="40" t="s">
        <v>545</v>
      </c>
      <c r="I1547" s="18">
        <v>45653</v>
      </c>
      <c r="J1547" s="10">
        <v>1</v>
      </c>
      <c r="K1547" s="10">
        <v>141</v>
      </c>
      <c r="L1547">
        <f>ТабПозиции[[#This Row],[discountPrice]]*ТабПозиции[[#This Row],[quantity]]</f>
        <v>141</v>
      </c>
      <c r="M1547" s="10">
        <v>149</v>
      </c>
      <c r="N1547">
        <f t="shared" si="29"/>
        <v>149</v>
      </c>
      <c r="P154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Row],[orderNum]],ТабПозиции[orderSumm])&gt;1500),ABS(N1547*VLOOKUP(ТабПозиции[[#This Row],[orderNum]],ТабЗаказы[#Data],MATCH("Percent",ТабЗаказы[#Headers],0),0))/100,200/COUNTIF(ТабПозиции[orderNum],ТабПозиции[[#This Row],[orderNum]])),0),"")</f>
        <v>40</v>
      </c>
      <c r="Q1547">
        <f>IF(OR(ТабПозиции[[#This Row],[item]]="По штрихкоду",ТабПозиции[[#This Row],[item]]="Посылка"),ТабПозиции[[#This Row],[deliverySumm]]+ТабПозиции[[#This Row],[deliveryPost]],SUM(N1547:P1547))</f>
        <v>189</v>
      </c>
      <c r="R1547" s="41">
        <v>189</v>
      </c>
      <c r="S1547" s="46">
        <f>ТабПозиции[[#This Row],[totalSumm]]-ТабПозиции[[#This Row],[payment]]</f>
        <v>0</v>
      </c>
      <c r="T1547" s="18" t="s">
        <v>970</v>
      </c>
      <c r="U1547" s="40" t="s">
        <v>545</v>
      </c>
      <c r="V1547" s="40" t="str">
        <f>IF(AND(ТабПозиции[[#This Row],[Остаток]]=0,ТабПозиции[[#This Row],[Заказан]]="Да"),"Да","Нет")</f>
        <v>Да</v>
      </c>
      <c r="W1547" s="40" t="s">
        <v>545</v>
      </c>
      <c r="X1547" s="3"/>
      <c r="Y1547"/>
    </row>
    <row r="1548" spans="1:25" hidden="1" x14ac:dyDescent="0.25">
      <c r="A1548" s="10">
        <v>408</v>
      </c>
      <c r="B1548" s="1">
        <f>IFERROR(VLOOKUP(ТабПозиции[[#This Row],[orderNum]],ТабЗаказы[#Data],MATCH(B$7,ТабЗаказы[#Headers],0),0),"")</f>
        <v>45650</v>
      </c>
      <c r="C1548" t="str">
        <f>MONTH(ТабПозиции[[#This Row],[date]])&amp;"/"&amp;YEAR(ТабПозиции[[#This Row],[date]])</f>
        <v>12/2024</v>
      </c>
      <c r="D1548" s="1" t="str">
        <f>IFERROR(VLOOKUP(ТабПозиции[[#This Row],[orderNum]],ТабЗаказы[#Data],MATCH(D$7,ТабЗаказы[#Headers],0),0),"")</f>
        <v/>
      </c>
      <c r="E1548" s="1" t="str">
        <f>IFERROR(VLOOKUP(ТабПозиции[[#This Row],[orderNum]],ТабЗаказы[#Data],MATCH(E$7,ТабЗаказы[#Headers],0),0),"")</f>
        <v/>
      </c>
      <c r="F1548" s="16" t="s">
        <v>1141</v>
      </c>
      <c r="G1548" s="40" t="s">
        <v>545</v>
      </c>
      <c r="I1548" s="18">
        <v>45653</v>
      </c>
      <c r="J1548" s="10">
        <v>1</v>
      </c>
      <c r="K1548" s="10">
        <v>691</v>
      </c>
      <c r="L1548">
        <f>ТабПозиции[[#This Row],[discountPrice]]*ТабПозиции[[#This Row],[quantity]]</f>
        <v>691</v>
      </c>
      <c r="M1548" s="10">
        <v>728</v>
      </c>
      <c r="N1548">
        <f t="shared" si="29"/>
        <v>728</v>
      </c>
      <c r="P154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Row],[orderNum]],ТабПозиции[orderSumm])&gt;1500),ABS(N1548*VLOOKUP(ТабПозиции[[#This Row],[orderNum]],ТабЗаказы[#Data],MATCH("Percent",ТабЗаказы[#Headers],0),0))/100,200/COUNTIF(ТабПозиции[orderNum],ТабПозиции[[#This Row],[orderNum]])),0),"")</f>
        <v>40</v>
      </c>
      <c r="Q1548">
        <f>IF(OR(ТабПозиции[[#This Row],[item]]="По штрихкоду",ТабПозиции[[#This Row],[item]]="Посылка"),ТабПозиции[[#This Row],[deliverySumm]]+ТабПозиции[[#This Row],[deliveryPost]],SUM(N1548:P1548))</f>
        <v>768</v>
      </c>
      <c r="R1548" s="41">
        <v>768</v>
      </c>
      <c r="S1548" s="46">
        <f>ТабПозиции[[#This Row],[totalSumm]]-ТабПозиции[[#This Row],[payment]]</f>
        <v>0</v>
      </c>
      <c r="T1548" s="18" t="s">
        <v>970</v>
      </c>
      <c r="U1548" s="40" t="s">
        <v>545</v>
      </c>
      <c r="V1548" s="40" t="str">
        <f>IF(AND(ТабПозиции[[#This Row],[Остаток]]=0,ТабПозиции[[#This Row],[Заказан]]="Да"),"Да","Нет")</f>
        <v>Да</v>
      </c>
      <c r="W1548" s="40" t="s">
        <v>545</v>
      </c>
      <c r="X1548" s="3"/>
      <c r="Y1548"/>
    </row>
    <row r="1549" spans="1:25" hidden="1" x14ac:dyDescent="0.25">
      <c r="A1549" s="10">
        <v>408</v>
      </c>
      <c r="B1549" s="1">
        <f>IFERROR(VLOOKUP(ТабПозиции[[#This Row],[orderNum]],ТабЗаказы[#Data],MATCH(B$7,ТабЗаказы[#Headers],0),0),"")</f>
        <v>45650</v>
      </c>
      <c r="C1549" t="str">
        <f>MONTH(ТабПозиции[[#This Row],[date]])&amp;"/"&amp;YEAR(ТабПозиции[[#This Row],[date]])</f>
        <v>12/2024</v>
      </c>
      <c r="D1549" s="1" t="str">
        <f>IFERROR(VLOOKUP(ТабПозиции[[#This Row],[orderNum]],ТабЗаказы[#Data],MATCH(D$7,ТабЗаказы[#Headers],0),0),"")</f>
        <v/>
      </c>
      <c r="E1549" s="1" t="str">
        <f>IFERROR(VLOOKUP(ТабПозиции[[#This Row],[orderNum]],ТабЗаказы[#Data],MATCH(E$7,ТабЗаказы[#Headers],0),0),"")</f>
        <v/>
      </c>
      <c r="F1549" s="16" t="s">
        <v>2073</v>
      </c>
      <c r="G1549" s="40" t="s">
        <v>545</v>
      </c>
      <c r="I1549" s="18">
        <v>45654</v>
      </c>
      <c r="J1549" s="10">
        <v>1</v>
      </c>
      <c r="K1549" s="10">
        <v>166</v>
      </c>
      <c r="L1549">
        <f>ТабПозиции[[#This Row],[discountPrice]]*ТабПозиции[[#This Row],[quantity]]</f>
        <v>166</v>
      </c>
      <c r="M1549" s="10">
        <v>175</v>
      </c>
      <c r="N1549">
        <f t="shared" si="29"/>
        <v>175</v>
      </c>
      <c r="P154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Row],[orderNum]],ТабПозиции[orderSumm])&gt;1500),ABS(N1549*VLOOKUP(ТабПозиции[[#This Row],[orderNum]],ТабЗаказы[#Data],MATCH("Percent",ТабЗаказы[#Headers],0),0))/100,200/COUNTIF(ТабПозиции[orderNum],ТабПозиции[[#This Row],[orderNum]])),0),"")</f>
        <v>40</v>
      </c>
      <c r="Q1549">
        <f>IF(OR(ТабПозиции[[#This Row],[item]]="По штрихкоду",ТабПозиции[[#This Row],[item]]="Посылка"),ТабПозиции[[#This Row],[deliverySumm]]+ТабПозиции[[#This Row],[deliveryPost]],SUM(N1549:P1549))</f>
        <v>215</v>
      </c>
      <c r="R1549" s="41">
        <v>215</v>
      </c>
      <c r="S1549" s="46">
        <f>ТабПозиции[[#This Row],[totalSumm]]-ТабПозиции[[#This Row],[payment]]</f>
        <v>0</v>
      </c>
      <c r="T1549" s="18" t="s">
        <v>970</v>
      </c>
      <c r="U1549" s="40" t="s">
        <v>545</v>
      </c>
      <c r="V1549" s="40" t="str">
        <f>IF(AND(ТабПозиции[[#This Row],[Остаток]]=0,ТабПозиции[[#This Row],[Заказан]]="Да"),"Да","Нет")</f>
        <v>Да</v>
      </c>
      <c r="W1549" s="40" t="s">
        <v>545</v>
      </c>
      <c r="X1549" s="3"/>
      <c r="Y1549"/>
    </row>
    <row r="1550" spans="1:25" x14ac:dyDescent="0.25">
      <c r="A1550" s="10">
        <v>409</v>
      </c>
      <c r="B1550" s="1">
        <f>IFERROR(VLOOKUP(ТабПозиции[[#This Row],[orderNum]],ТабЗаказы[#Data],MATCH(B$7,ТабЗаказы[#Headers],0),0),"")</f>
        <v>45650</v>
      </c>
      <c r="C1550" t="str">
        <f>MONTH(ТабПозиции[[#This Row],[date]])&amp;"/"&amp;YEAR(ТабПозиции[[#This Row],[date]])</f>
        <v>12/2024</v>
      </c>
      <c r="D1550" s="1" t="str">
        <f>IFERROR(VLOOKUP(ТабПозиции[[#This Row],[orderNum]],ТабЗаказы[#Data],MATCH(D$7,ТабЗаказы[#Headers],0),0),"")</f>
        <v/>
      </c>
      <c r="E1550" s="1" t="str">
        <f>IFERROR(VLOOKUP(ТабПозиции[[#This Row],[orderNum]],ТабЗаказы[#Data],MATCH(E$7,ТабЗаказы[#Headers],0),0),"")</f>
        <v/>
      </c>
      <c r="F1550" s="16" t="s">
        <v>1058</v>
      </c>
      <c r="G1550" s="40" t="s">
        <v>490</v>
      </c>
      <c r="H1550" s="12" t="s">
        <v>2130</v>
      </c>
      <c r="I1550" s="18">
        <v>45672</v>
      </c>
      <c r="J1550" s="10">
        <v>1</v>
      </c>
      <c r="K1550" s="10">
        <v>1299</v>
      </c>
      <c r="L1550">
        <f>ТабПозиции[[#This Row],[discountPrice]]*ТабПозиции[[#This Row],[quantity]]</f>
        <v>1299</v>
      </c>
      <c r="M1550" s="10">
        <v>1299</v>
      </c>
      <c r="N1550">
        <f t="shared" si="29"/>
        <v>1299</v>
      </c>
      <c r="P155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Row],[orderNum]],ТабПозиции[orderSumm])&gt;1500),ABS(N1550*VLOOKUP(ТабПозиции[[#This Row],[orderNum]],ТабЗаказы[#Data],MATCH("Percent",ТабЗаказы[#Headers],0),0))/100,200/COUNTIF(ТабПозиции[orderNum],ТабПозиции[[#This Row],[orderNum]])),0),"")</f>
        <v>195</v>
      </c>
      <c r="Q1550">
        <f>IF(OR(ТабПозиции[[#This Row],[item]]="По штрихкоду",ТабПозиции[[#This Row],[item]]="Посылка"),ТабПозиции[[#This Row],[deliverySumm]]+ТабПозиции[[#This Row],[deliveryPost]],SUM(N1550:P1550))</f>
        <v>1494</v>
      </c>
      <c r="R1550" s="41">
        <v>1494</v>
      </c>
      <c r="S1550" s="46">
        <f>ТабПозиции[[#This Row],[totalSumm]]-ТабПозиции[[#This Row],[payment]]</f>
        <v>0</v>
      </c>
      <c r="T1550" s="18" t="s">
        <v>584</v>
      </c>
      <c r="U1550" s="40" t="s">
        <v>545</v>
      </c>
      <c r="V1550" s="40" t="str">
        <f>IF(AND(ТабПозиции[[#This Row],[Остаток]]=0,ТабПозиции[[#This Row],[Заказан]]="Да"),"Да","Нет")</f>
        <v>Да</v>
      </c>
      <c r="W1550" s="40" t="s">
        <v>490</v>
      </c>
      <c r="X1550" s="3"/>
      <c r="Y1550"/>
    </row>
    <row r="1551" spans="1:25" hidden="1" x14ac:dyDescent="0.25">
      <c r="A1551" s="10">
        <v>409</v>
      </c>
      <c r="B1551" s="1">
        <f>IFERROR(VLOOKUP(ТабПозиции[[#This Row],[orderNum]],ТабЗаказы[#Data],MATCH(B$7,ТабЗаказы[#Headers],0),0),"")</f>
        <v>45650</v>
      </c>
      <c r="C1551" t="str">
        <f>MONTH(ТабПозиции[[#This Row],[date]])&amp;"/"&amp;YEAR(ТабПозиции[[#This Row],[date]])</f>
        <v>12/2024</v>
      </c>
      <c r="D1551" s="1" t="str">
        <f>IFERROR(VLOOKUP(ТабПозиции[[#This Row],[orderNum]],ТабЗаказы[#Data],MATCH(D$7,ТабЗаказы[#Headers],0),0),"")</f>
        <v/>
      </c>
      <c r="E1551" s="1" t="str">
        <f>IFERROR(VLOOKUP(ТабПозиции[[#This Row],[orderNum]],ТабЗаказы[#Data],MATCH(E$7,ТабЗаказы[#Headers],0),0),"")</f>
        <v/>
      </c>
      <c r="F1551" s="16" t="s">
        <v>2074</v>
      </c>
      <c r="G1551" s="40" t="s">
        <v>545</v>
      </c>
      <c r="H1551" s="12" t="s">
        <v>2129</v>
      </c>
      <c r="I1551" s="18">
        <v>45672</v>
      </c>
      <c r="J1551" s="10">
        <v>1</v>
      </c>
      <c r="K1551" s="10">
        <v>514</v>
      </c>
      <c r="L1551">
        <f>ТабПозиции[[#This Row],[discountPrice]]*ТабПозиции[[#This Row],[quantity]]</f>
        <v>514</v>
      </c>
      <c r="M1551" s="10">
        <v>638</v>
      </c>
      <c r="N1551">
        <f t="shared" si="29"/>
        <v>638</v>
      </c>
      <c r="P155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Row],[orderNum]],ТабПозиции[orderSumm])&gt;1500),ABS(N1551*VLOOKUP(ТабПозиции[[#This Row],[orderNum]],ТабЗаказы[#Data],MATCH("Percent",ТабЗаказы[#Headers],0),0))/100,200/COUNTIF(ТабПозиции[orderNum],ТабПозиции[[#This Row],[orderNum]])),0),"")</f>
        <v>96</v>
      </c>
      <c r="Q1551">
        <f>IF(OR(ТабПозиции[[#This Row],[item]]="По штрихкоду",ТабПозиции[[#This Row],[item]]="Посылка"),ТабПозиции[[#This Row],[deliverySumm]]+ТабПозиции[[#This Row],[deliveryPost]],SUM(N1551:P1551))</f>
        <v>734</v>
      </c>
      <c r="R1551" s="41">
        <v>734</v>
      </c>
      <c r="S1551" s="46">
        <f>ТабПозиции[[#This Row],[totalSumm]]-ТабПозиции[[#This Row],[payment]]</f>
        <v>0</v>
      </c>
      <c r="T1551" s="18" t="s">
        <v>584</v>
      </c>
      <c r="U1551" s="40" t="s">
        <v>545</v>
      </c>
      <c r="V1551" s="40" t="str">
        <f>IF(AND(ТабПозиции[[#This Row],[Остаток]]=0,ТабПозиции[[#This Row],[Заказан]]="Да"),"Да","Нет")</f>
        <v>Да</v>
      </c>
      <c r="W1551" s="40" t="str">
        <f>IF(AND(ТабПозиции[[#This Row],[Остаток]]=0,ТабПозиции[[#This Row],[Заказан]]="Да"),"Да","Нет")</f>
        <v>Да</v>
      </c>
      <c r="X1551" s="3"/>
      <c r="Y1551"/>
    </row>
    <row r="1552" spans="1:25" hidden="1" x14ac:dyDescent="0.25">
      <c r="A1552" s="10">
        <v>403</v>
      </c>
      <c r="B1552" s="1">
        <f>IFERROR(VLOOKUP(ТабПозиции[[#This Row],[orderNum]],ТабЗаказы[#Data],MATCH(B$7,ТабЗаказы[#Headers],0),0),"")</f>
        <v>45649</v>
      </c>
      <c r="C1552" t="str">
        <f>MONTH(ТабПозиции[[#This Row],[date]])&amp;"/"&amp;YEAR(ТабПозиции[[#This Row],[date]])</f>
        <v>12/2024</v>
      </c>
      <c r="D1552" s="1" t="str">
        <f>IFERROR(VLOOKUP(ТабПозиции[[#This Row],[orderNum]],ТабЗаказы[#Data],MATCH(D$7,ТабЗаказы[#Headers],0),0),"")</f>
        <v/>
      </c>
      <c r="E1552" s="1" t="str">
        <f>IFERROR(VLOOKUP(ТабПозиции[[#This Row],[orderNum]],ТабЗаказы[#Data],MATCH(E$7,ТабЗаказы[#Headers],0),0),"")</f>
        <v/>
      </c>
      <c r="F1552" s="16" t="s">
        <v>2075</v>
      </c>
      <c r="G1552" s="40" t="s">
        <v>545</v>
      </c>
      <c r="I1552" s="18"/>
      <c r="J1552" s="10">
        <v>1</v>
      </c>
      <c r="K1552" s="10">
        <v>50</v>
      </c>
      <c r="L1552">
        <f>ТабПозиции[[#This Row],[discountPrice]]*ТабПозиции[[#This Row],[quantity]]</f>
        <v>50</v>
      </c>
      <c r="M1552" s="10">
        <v>50</v>
      </c>
      <c r="N1552">
        <f t="shared" si="29"/>
        <v>50</v>
      </c>
      <c r="P155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Row],[orderNum]],ТабПозиции[orderSumm])&gt;1500),ABS(N1552*VLOOKUP(ТабПозиции[[#This Row],[orderNum]],ТабЗаказы[#Data],MATCH("Percent",ТабЗаказы[#Headers],0),0))/100,200/COUNTIF(ТабПозиции[orderNum],ТабПозиции[[#This Row],[orderNum]])),0),"")</f>
        <v>8</v>
      </c>
      <c r="Q1552">
        <f>IF(OR(ТабПозиции[[#This Row],[item]]="По штрихкоду",ТабПозиции[[#This Row],[item]]="Посылка"),ТабПозиции[[#This Row],[deliverySumm]]+ТабПозиции[[#This Row],[deliveryPost]],SUM(N1552:P1552))</f>
        <v>58</v>
      </c>
      <c r="R1552" s="41">
        <v>58</v>
      </c>
      <c r="S1552" s="46">
        <f>ТабПозиции[[#This Row],[totalSumm]]-ТабПозиции[[#This Row],[payment]]</f>
        <v>0</v>
      </c>
      <c r="T1552" s="18" t="s">
        <v>1005</v>
      </c>
      <c r="U1552" s="40" t="s">
        <v>545</v>
      </c>
      <c r="V1552" s="40" t="str">
        <f>IF(AND(ТабПозиции[[#This Row],[Остаток]]=0,ТабПозиции[[#This Row],[Заказан]]="Да"),"Да","Нет")</f>
        <v>Да</v>
      </c>
      <c r="W1552" s="40" t="s">
        <v>545</v>
      </c>
      <c r="X1552" s="3"/>
      <c r="Y1552"/>
    </row>
    <row r="1553" spans="1:25" hidden="1" x14ac:dyDescent="0.25">
      <c r="A1553" s="10">
        <v>403</v>
      </c>
      <c r="B1553" s="1">
        <f>IFERROR(VLOOKUP(ТабПозиции[[#This Row],[orderNum]],ТабЗаказы[#Data],MATCH(B$7,ТабЗаказы[#Headers],0),0),"")</f>
        <v>45649</v>
      </c>
      <c r="C1553" t="str">
        <f>MONTH(ТабПозиции[[#This Row],[date]])&amp;"/"&amp;YEAR(ТабПозиции[[#This Row],[date]])</f>
        <v>12/2024</v>
      </c>
      <c r="D1553" s="1" t="str">
        <f>IFERROR(VLOOKUP(ТабПозиции[[#This Row],[orderNum]],ТабЗаказы[#Data],MATCH(D$7,ТабЗаказы[#Headers],0),0),"")</f>
        <v/>
      </c>
      <c r="E1553" s="1" t="str">
        <f>IFERROR(VLOOKUP(ТабПозиции[[#This Row],[orderNum]],ТабЗаказы[#Data],MATCH(E$7,ТабЗаказы[#Headers],0),0),"")</f>
        <v/>
      </c>
      <c r="F1553" s="16" t="s">
        <v>2076</v>
      </c>
      <c r="G1553" s="40" t="s">
        <v>545</v>
      </c>
      <c r="I1553" s="18"/>
      <c r="J1553" s="10">
        <v>1</v>
      </c>
      <c r="K1553" s="10">
        <v>50</v>
      </c>
      <c r="L1553">
        <f>ТабПозиции[[#This Row],[discountPrice]]*ТабПозиции[[#This Row],[quantity]]</f>
        <v>50</v>
      </c>
      <c r="M1553" s="10">
        <v>50</v>
      </c>
      <c r="N1553">
        <f t="shared" si="29"/>
        <v>50</v>
      </c>
      <c r="P155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Row],[orderNum]],ТабПозиции[orderSumm])&gt;1500),ABS(N1553*VLOOKUP(ТабПозиции[[#This Row],[orderNum]],ТабЗаказы[#Data],MATCH("Percent",ТабЗаказы[#Headers],0),0))/100,200/COUNTIF(ТабПозиции[orderNum],ТабПозиции[[#This Row],[orderNum]])),0),"")</f>
        <v>8</v>
      </c>
      <c r="Q1553">
        <f>IF(OR(ТабПозиции[[#This Row],[item]]="По штрихкоду",ТабПозиции[[#This Row],[item]]="Посылка"),ТабПозиции[[#This Row],[deliverySumm]]+ТабПозиции[[#This Row],[deliveryPost]],SUM(N1553:P1553))</f>
        <v>58</v>
      </c>
      <c r="R1553" s="41">
        <v>58</v>
      </c>
      <c r="S1553" s="46">
        <f>ТабПозиции[[#This Row],[totalSumm]]-ТабПозиции[[#This Row],[payment]]</f>
        <v>0</v>
      </c>
      <c r="T1553" s="18" t="s">
        <v>1005</v>
      </c>
      <c r="U1553" s="40" t="s">
        <v>545</v>
      </c>
      <c r="V1553" s="40" t="str">
        <f>IF(AND(ТабПозиции[[#This Row],[Остаток]]=0,ТабПозиции[[#This Row],[Заказан]]="Да"),"Да","Нет")</f>
        <v>Да</v>
      </c>
      <c r="W1553" s="40" t="s">
        <v>545</v>
      </c>
      <c r="X1553" s="3"/>
      <c r="Y1553"/>
    </row>
    <row r="1554" spans="1:25" hidden="1" x14ac:dyDescent="0.25">
      <c r="A1554" s="10">
        <v>403</v>
      </c>
      <c r="B1554" s="1">
        <f>IFERROR(VLOOKUP(ТабПозиции[[#This Row],[orderNum]],ТабЗаказы[#Data],MATCH(B$7,ТабЗаказы[#Headers],0),0),"")</f>
        <v>45649</v>
      </c>
      <c r="C1554" t="str">
        <f>MONTH(ТабПозиции[[#This Row],[date]])&amp;"/"&amp;YEAR(ТабПозиции[[#This Row],[date]])</f>
        <v>12/2024</v>
      </c>
      <c r="D1554" s="1" t="str">
        <f>IFERROR(VLOOKUP(ТабПозиции[[#This Row],[orderNum]],ТабЗаказы[#Data],MATCH(D$7,ТабЗаказы[#Headers],0),0),"")</f>
        <v/>
      </c>
      <c r="E1554" s="1" t="str">
        <f>IFERROR(VLOOKUP(ТабПозиции[[#This Row],[orderNum]],ТабЗаказы[#Data],MATCH(E$7,ТабЗаказы[#Headers],0),0),"")</f>
        <v/>
      </c>
      <c r="F1554" s="16" t="s">
        <v>2077</v>
      </c>
      <c r="G1554" s="40" t="s">
        <v>545</v>
      </c>
      <c r="I1554" s="18"/>
      <c r="J1554" s="10">
        <v>1</v>
      </c>
      <c r="K1554" s="10">
        <v>525</v>
      </c>
      <c r="L1554">
        <f>ТабПозиции[[#This Row],[discountPrice]]*ТабПозиции[[#This Row],[quantity]]</f>
        <v>525</v>
      </c>
      <c r="M1554" s="10">
        <v>525</v>
      </c>
      <c r="N1554">
        <f t="shared" si="29"/>
        <v>525</v>
      </c>
      <c r="O1554" s="10">
        <v>197</v>
      </c>
      <c r="P155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Row],[orderNum]],ТабПозиции[orderSumm])&gt;1500),ABS(N1554*VLOOKUP(ТабПозиции[[#This Row],[orderNum]],ТабЗаказы[#Data],MATCH("Percent",ТабЗаказы[#Headers],0),0))/100,200/COUNTIF(ТабПозиции[orderNum],ТабПозиции[[#This Row],[orderNum]])),0),"")</f>
        <v>79</v>
      </c>
      <c r="Q1554">
        <f>IF(OR(ТабПозиции[[#This Row],[item]]="По штрихкоду",ТабПозиции[[#This Row],[item]]="Посылка"),ТабПозиции[[#This Row],[deliverySumm]]+ТабПозиции[[#This Row],[deliveryPost]],SUM(N1554:P1554))</f>
        <v>801</v>
      </c>
      <c r="R1554" s="41">
        <v>801</v>
      </c>
      <c r="S1554" s="46">
        <f>ТабПозиции[[#This Row],[totalSumm]]-ТабПозиции[[#This Row],[payment]]</f>
        <v>0</v>
      </c>
      <c r="T1554" s="18" t="s">
        <v>1005</v>
      </c>
      <c r="U1554" s="40" t="s">
        <v>545</v>
      </c>
      <c r="V1554" s="40" t="str">
        <f>IF(AND(ТабПозиции[[#This Row],[Остаток]]=0,ТабПозиции[[#This Row],[Заказан]]="Да"),"Да","Нет")</f>
        <v>Да</v>
      </c>
      <c r="W1554" s="40" t="s">
        <v>545</v>
      </c>
      <c r="X1554" s="3"/>
      <c r="Y1554"/>
    </row>
    <row r="1555" spans="1:25" hidden="1" x14ac:dyDescent="0.25">
      <c r="A1555" s="10">
        <v>403</v>
      </c>
      <c r="B1555" s="1">
        <f>IFERROR(VLOOKUP(ТабПозиции[[#This Row],[orderNum]],ТабЗаказы[#Data],MATCH(B$7,ТабЗаказы[#Headers],0),0),"")</f>
        <v>45649</v>
      </c>
      <c r="C1555" t="str">
        <f>MONTH(ТабПозиции[[#This Row],[date]])&amp;"/"&amp;YEAR(ТабПозиции[[#This Row],[date]])</f>
        <v>12/2024</v>
      </c>
      <c r="D1555" s="1" t="str">
        <f>IFERROR(VLOOKUP(ТабПозиции[[#This Row],[orderNum]],ТабЗаказы[#Data],MATCH(D$7,ТабЗаказы[#Headers],0),0),"")</f>
        <v/>
      </c>
      <c r="E1555" s="1" t="str">
        <f>IFERROR(VLOOKUP(ТабПозиции[[#This Row],[orderNum]],ТабЗаказы[#Data],MATCH(E$7,ТабЗаказы[#Headers],0),0),"")</f>
        <v/>
      </c>
      <c r="F1555" s="16" t="s">
        <v>2078</v>
      </c>
      <c r="G1555" s="40" t="s">
        <v>545</v>
      </c>
      <c r="I1555" s="18"/>
      <c r="J1555" s="10">
        <v>1</v>
      </c>
      <c r="K1555" s="10">
        <v>11</v>
      </c>
      <c r="L1555">
        <f>ТабПозиции[[#This Row],[discountPrice]]*ТабПозиции[[#This Row],[quantity]]</f>
        <v>11</v>
      </c>
      <c r="M1555" s="10">
        <v>11</v>
      </c>
      <c r="N1555">
        <f t="shared" si="29"/>
        <v>11</v>
      </c>
      <c r="P155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Row],[orderNum]],ТабПозиции[orderSumm])&gt;1500),ABS(N1555*VLOOKUP(ТабПозиции[[#This Row],[orderNum]],ТабЗаказы[#Data],MATCH("Percent",ТабЗаказы[#Headers],0),0))/100,200/COUNTIF(ТабПозиции[orderNum],ТабПозиции[[#This Row],[orderNum]])),0),"")</f>
        <v>2</v>
      </c>
      <c r="Q1555">
        <f>IF(OR(ТабПозиции[[#This Row],[item]]="По штрихкоду",ТабПозиции[[#This Row],[item]]="Посылка"),ТабПозиции[[#This Row],[deliverySumm]]+ТабПозиции[[#This Row],[deliveryPost]],SUM(N1555:P1555))</f>
        <v>13</v>
      </c>
      <c r="R1555" s="41">
        <v>13</v>
      </c>
      <c r="S1555" s="46">
        <f>ТабПозиции[[#This Row],[totalSumm]]-ТабПозиции[[#This Row],[payment]]</f>
        <v>0</v>
      </c>
      <c r="T1555" s="18" t="s">
        <v>1005</v>
      </c>
      <c r="U1555" s="40" t="s">
        <v>545</v>
      </c>
      <c r="V1555" s="40" t="str">
        <f>IF(AND(ТабПозиции[[#This Row],[Остаток]]=0,ТабПозиции[[#This Row],[Заказан]]="Да"),"Да","Нет")</f>
        <v>Да</v>
      </c>
      <c r="W1555" s="40" t="s">
        <v>545</v>
      </c>
      <c r="X1555" s="3"/>
      <c r="Y1555"/>
    </row>
    <row r="1556" spans="1:25" hidden="1" x14ac:dyDescent="0.25">
      <c r="A1556" s="10">
        <v>403</v>
      </c>
      <c r="B1556" s="1">
        <f>IFERROR(VLOOKUP(ТабПозиции[[#This Row],[orderNum]],ТабЗаказы[#Data],MATCH(B$7,ТабЗаказы[#Headers],0),0),"")</f>
        <v>45649</v>
      </c>
      <c r="C1556" t="str">
        <f>MONTH(ТабПозиции[[#This Row],[date]])&amp;"/"&amp;YEAR(ТабПозиции[[#This Row],[date]])</f>
        <v>12/2024</v>
      </c>
      <c r="D1556" s="1" t="str">
        <f>IFERROR(VLOOKUP(ТабПозиции[[#This Row],[orderNum]],ТабЗаказы[#Data],MATCH(D$7,ТабЗаказы[#Headers],0),0),"")</f>
        <v/>
      </c>
      <c r="E1556" s="1" t="str">
        <f>IFERROR(VLOOKUP(ТабПозиции[[#This Row],[orderNum]],ТабЗаказы[#Data],MATCH(E$7,ТабЗаказы[#Headers],0),0),"")</f>
        <v/>
      </c>
      <c r="F1556" s="16" t="s">
        <v>2079</v>
      </c>
      <c r="G1556" s="40" t="s">
        <v>545</v>
      </c>
      <c r="I1556" s="18"/>
      <c r="J1556" s="10">
        <v>1</v>
      </c>
      <c r="K1556" s="10">
        <v>90</v>
      </c>
      <c r="L1556">
        <f>ТабПозиции[[#This Row],[discountPrice]]*ТабПозиции[[#This Row],[quantity]]</f>
        <v>90</v>
      </c>
      <c r="M1556" s="10">
        <v>90</v>
      </c>
      <c r="N1556">
        <f t="shared" si="29"/>
        <v>90</v>
      </c>
      <c r="P155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Row],[orderNum]],ТабПозиции[orderSumm])&gt;1500),ABS(N1556*VLOOKUP(ТабПозиции[[#This Row],[orderNum]],ТабЗаказы[#Data],MATCH("Percent",ТабЗаказы[#Headers],0),0))/100,200/COUNTIF(ТабПозиции[orderNum],ТабПозиции[[#This Row],[orderNum]])),0),"")</f>
        <v>14</v>
      </c>
      <c r="Q1556">
        <f>IF(OR(ТабПозиции[[#This Row],[item]]="По штрихкоду",ТабПозиции[[#This Row],[item]]="Посылка"),ТабПозиции[[#This Row],[deliverySumm]]+ТабПозиции[[#This Row],[deliveryPost]],SUM(N1556:P1556))</f>
        <v>104</v>
      </c>
      <c r="R1556" s="41">
        <v>104</v>
      </c>
      <c r="S1556" s="46">
        <f>ТабПозиции[[#This Row],[totalSumm]]-ТабПозиции[[#This Row],[payment]]</f>
        <v>0</v>
      </c>
      <c r="T1556" s="18" t="s">
        <v>1005</v>
      </c>
      <c r="U1556" s="40" t="s">
        <v>545</v>
      </c>
      <c r="V1556" s="40" t="str">
        <f>IF(AND(ТабПозиции[[#This Row],[Остаток]]=0,ТабПозиции[[#This Row],[Заказан]]="Да"),"Да","Нет")</f>
        <v>Да</v>
      </c>
      <c r="W1556" s="40" t="s">
        <v>545</v>
      </c>
      <c r="X1556" s="3"/>
      <c r="Y1556"/>
    </row>
    <row r="1557" spans="1:25" hidden="1" x14ac:dyDescent="0.25">
      <c r="A1557" s="10">
        <v>403</v>
      </c>
      <c r="B1557" s="1">
        <f>IFERROR(VLOOKUP(ТабПозиции[[#This Row],[orderNum]],ТабЗаказы[#Data],MATCH(B$7,ТабЗаказы[#Headers],0),0),"")</f>
        <v>45649</v>
      </c>
      <c r="C1557" t="str">
        <f>MONTH(ТабПозиции[[#This Row],[date]])&amp;"/"&amp;YEAR(ТабПозиции[[#This Row],[date]])</f>
        <v>12/2024</v>
      </c>
      <c r="D1557" s="1" t="str">
        <f>IFERROR(VLOOKUP(ТабПозиции[[#This Row],[orderNum]],ТабЗаказы[#Data],MATCH(D$7,ТабЗаказы[#Headers],0),0),"")</f>
        <v/>
      </c>
      <c r="E1557" s="1" t="str">
        <f>IFERROR(VLOOKUP(ТабПозиции[[#This Row],[orderNum]],ТабЗаказы[#Data],MATCH(E$7,ТабЗаказы[#Headers],0),0),"")</f>
        <v/>
      </c>
      <c r="F1557" s="16" t="s">
        <v>2080</v>
      </c>
      <c r="G1557" s="40" t="s">
        <v>545</v>
      </c>
      <c r="I1557" s="18"/>
      <c r="J1557" s="10">
        <v>1</v>
      </c>
      <c r="K1557" s="10">
        <v>64</v>
      </c>
      <c r="L1557">
        <f>ТабПозиции[[#This Row],[discountPrice]]*ТабПозиции[[#This Row],[quantity]]</f>
        <v>64</v>
      </c>
      <c r="M1557" s="10">
        <v>86</v>
      </c>
      <c r="N1557">
        <f t="shared" si="29"/>
        <v>86</v>
      </c>
      <c r="P155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Row],[orderNum]],ТабПозиции[orderSumm])&gt;1500),ABS(N1557*VLOOKUP(ТабПозиции[[#This Row],[orderNum]],ТабЗаказы[#Data],MATCH("Percent",ТабЗаказы[#Headers],0),0))/100,200/COUNTIF(ТабПозиции[orderNum],ТабПозиции[[#This Row],[orderNum]])),0),"")</f>
        <v>13</v>
      </c>
      <c r="Q1557">
        <f>IF(OR(ТабПозиции[[#This Row],[item]]="По штрихкоду",ТабПозиции[[#This Row],[item]]="Посылка"),ТабПозиции[[#This Row],[deliverySumm]]+ТабПозиции[[#This Row],[deliveryPost]],SUM(N1557:P1557))</f>
        <v>99</v>
      </c>
      <c r="R1557" s="41">
        <v>99</v>
      </c>
      <c r="S1557" s="46">
        <f>ТабПозиции[[#This Row],[totalSumm]]-ТабПозиции[[#This Row],[payment]]</f>
        <v>0</v>
      </c>
      <c r="T1557" s="18" t="s">
        <v>1016</v>
      </c>
      <c r="U1557" s="40" t="s">
        <v>545</v>
      </c>
      <c r="V1557" s="40" t="str">
        <f>IF(AND(ТабПозиции[[#This Row],[Остаток]]=0,ТабПозиции[[#This Row],[Заказан]]="Да"),"Да","Нет")</f>
        <v>Да</v>
      </c>
      <c r="W1557" s="40" t="str">
        <f>IF(AND(ТабПозиции[[#This Row],[Остаток]]=0,ТабПозиции[[#This Row],[Заказан]]="Да"),"Да","Нет")</f>
        <v>Да</v>
      </c>
      <c r="X1557" s="3"/>
      <c r="Y1557"/>
    </row>
    <row r="1558" spans="1:25" hidden="1" x14ac:dyDescent="0.25">
      <c r="A1558" s="10">
        <v>403</v>
      </c>
      <c r="B1558" s="1">
        <f>IFERROR(VLOOKUP(ТабПозиции[[#This Row],[orderNum]],ТабЗаказы[#Data],MATCH(B$7,ТабЗаказы[#Headers],0),0),"")</f>
        <v>45649</v>
      </c>
      <c r="C1558" t="str">
        <f>MONTH(ТабПозиции[[#This Row],[date]])&amp;"/"&amp;YEAR(ТабПозиции[[#This Row],[date]])</f>
        <v>12/2024</v>
      </c>
      <c r="D1558" s="1" t="str">
        <f>IFERROR(VLOOKUP(ТабПозиции[[#This Row],[orderNum]],ТабЗаказы[#Data],MATCH(D$7,ТабЗаказы[#Headers],0),0),"")</f>
        <v/>
      </c>
      <c r="E1558" s="1" t="str">
        <f>IFERROR(VLOOKUP(ТабПозиции[[#This Row],[orderNum]],ТабЗаказы[#Data],MATCH(E$7,ТабЗаказы[#Headers],0),0),"")</f>
        <v/>
      </c>
      <c r="F1558" s="16" t="s">
        <v>2081</v>
      </c>
      <c r="G1558" s="40" t="s">
        <v>545</v>
      </c>
      <c r="I1558" s="18"/>
      <c r="J1558" s="10">
        <v>1</v>
      </c>
      <c r="K1558" s="10">
        <v>104</v>
      </c>
      <c r="L1558">
        <f>ТабПозиции[[#This Row],[discountPrice]]*ТабПозиции[[#This Row],[quantity]]</f>
        <v>104</v>
      </c>
      <c r="M1558" s="10">
        <v>140</v>
      </c>
      <c r="N1558">
        <f t="shared" si="29"/>
        <v>140</v>
      </c>
      <c r="P155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Row],[orderNum]],ТабПозиции[orderSumm])&gt;1500),ABS(N1558*VLOOKUP(ТабПозиции[[#This Row],[orderNum]],ТабЗаказы[#Data],MATCH("Percent",ТабЗаказы[#Headers],0),0))/100,200/COUNTIF(ТабПозиции[orderNum],ТабПозиции[[#This Row],[orderNum]])),0),"")</f>
        <v>21</v>
      </c>
      <c r="Q1558">
        <f>IF(OR(ТабПозиции[[#This Row],[item]]="По штрихкоду",ТабПозиции[[#This Row],[item]]="Посылка"),ТабПозиции[[#This Row],[deliverySumm]]+ТабПозиции[[#This Row],[deliveryPost]],SUM(N1558:P1558))</f>
        <v>161</v>
      </c>
      <c r="R1558" s="41">
        <v>161</v>
      </c>
      <c r="S1558" s="46">
        <f>ТабПозиции[[#This Row],[totalSumm]]-ТабПозиции[[#This Row],[payment]]</f>
        <v>0</v>
      </c>
      <c r="T1558" s="18" t="s">
        <v>1016</v>
      </c>
      <c r="U1558" s="40" t="s">
        <v>545</v>
      </c>
      <c r="V1558" s="40" t="str">
        <f>IF(AND(ТабПозиции[[#This Row],[Остаток]]=0,ТабПозиции[[#This Row],[Заказан]]="Да"),"Да","Нет")</f>
        <v>Да</v>
      </c>
      <c r="W1558" s="40" t="str">
        <f>IF(AND(ТабПозиции[[#This Row],[Остаток]]=0,ТабПозиции[[#This Row],[Заказан]]="Да"),"Да","Нет")</f>
        <v>Да</v>
      </c>
      <c r="X1558" s="3"/>
      <c r="Y1558"/>
    </row>
    <row r="1559" spans="1:25" hidden="1" x14ac:dyDescent="0.25">
      <c r="A1559" s="10">
        <v>403</v>
      </c>
      <c r="B1559" s="1">
        <f>IFERROR(VLOOKUP(ТабПозиции[[#This Row],[orderNum]],ТабЗаказы[#Data],MATCH(B$7,ТабЗаказы[#Headers],0),0),"")</f>
        <v>45649</v>
      </c>
      <c r="C1559" t="str">
        <f>MONTH(ТабПозиции[[#This Row],[date]])&amp;"/"&amp;YEAR(ТабПозиции[[#This Row],[date]])</f>
        <v>12/2024</v>
      </c>
      <c r="D1559" s="1" t="str">
        <f>IFERROR(VLOOKUP(ТабПозиции[[#This Row],[orderNum]],ТабЗаказы[#Data],MATCH(D$7,ТабЗаказы[#Headers],0),0),"")</f>
        <v/>
      </c>
      <c r="E1559" s="1" t="str">
        <f>IFERROR(VLOOKUP(ТабПозиции[[#This Row],[orderNum]],ТабЗаказы[#Data],MATCH(E$7,ТабЗаказы[#Headers],0),0),"")</f>
        <v/>
      </c>
      <c r="F1559" s="16" t="s">
        <v>2082</v>
      </c>
      <c r="G1559" s="40" t="s">
        <v>545</v>
      </c>
      <c r="I1559" s="18"/>
      <c r="J1559" s="10">
        <v>1</v>
      </c>
      <c r="K1559" s="10">
        <v>113</v>
      </c>
      <c r="L1559">
        <f>ТабПозиции[[#This Row],[discountPrice]]*ТабПозиции[[#This Row],[quantity]]</f>
        <v>113</v>
      </c>
      <c r="M1559" s="10">
        <v>154</v>
      </c>
      <c r="N1559">
        <f t="shared" si="29"/>
        <v>154</v>
      </c>
      <c r="P155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Row],[orderNum]],ТабПозиции[orderSumm])&gt;1500),ABS(N1559*VLOOKUP(ТабПозиции[[#This Row],[orderNum]],ТабЗаказы[#Data],MATCH("Percent",ТабЗаказы[#Headers],0),0))/100,200/COUNTIF(ТабПозиции[orderNum],ТабПозиции[[#This Row],[orderNum]])),0),"")</f>
        <v>23</v>
      </c>
      <c r="Q1559">
        <f>IF(OR(ТабПозиции[[#This Row],[item]]="По штрихкоду",ТабПозиции[[#This Row],[item]]="Посылка"),ТабПозиции[[#This Row],[deliverySumm]]+ТабПозиции[[#This Row],[deliveryPost]],SUM(N1559:P1559))</f>
        <v>177</v>
      </c>
      <c r="R1559" s="41">
        <v>177</v>
      </c>
      <c r="S1559" s="46">
        <f>ТабПозиции[[#This Row],[totalSumm]]-ТабПозиции[[#This Row],[payment]]</f>
        <v>0</v>
      </c>
      <c r="T1559" s="18" t="s">
        <v>1016</v>
      </c>
      <c r="U1559" s="40" t="s">
        <v>545</v>
      </c>
      <c r="V1559" s="40" t="str">
        <f>IF(AND(ТабПозиции[[#This Row],[Остаток]]=0,ТабПозиции[[#This Row],[Заказан]]="Да"),"Да","Нет")</f>
        <v>Да</v>
      </c>
      <c r="W1559" s="40" t="str">
        <f>IF(AND(ТабПозиции[[#This Row],[Остаток]]=0,ТабПозиции[[#This Row],[Заказан]]="Да"),"Да","Нет")</f>
        <v>Да</v>
      </c>
      <c r="X1559" s="3"/>
      <c r="Y1559"/>
    </row>
    <row r="1560" spans="1:25" hidden="1" x14ac:dyDescent="0.25">
      <c r="A1560" s="10">
        <v>403</v>
      </c>
      <c r="B1560" s="1">
        <f>IFERROR(VLOOKUP(ТабПозиции[[#This Row],[orderNum]],ТабЗаказы[#Data],MATCH(B$7,ТабЗаказы[#Headers],0),0),"")</f>
        <v>45649</v>
      </c>
      <c r="C1560" t="str">
        <f>MONTH(ТабПозиции[[#This Row],[date]])&amp;"/"&amp;YEAR(ТабПозиции[[#This Row],[date]])</f>
        <v>12/2024</v>
      </c>
      <c r="D1560" s="1" t="str">
        <f>IFERROR(VLOOKUP(ТабПозиции[[#This Row],[orderNum]],ТабЗаказы[#Data],MATCH(D$7,ТабЗаказы[#Headers],0),0),"")</f>
        <v/>
      </c>
      <c r="E1560" s="1" t="str">
        <f>IFERROR(VLOOKUP(ТабПозиции[[#This Row],[orderNum]],ТабЗаказы[#Data],MATCH(E$7,ТабЗаказы[#Headers],0),0),"")</f>
        <v/>
      </c>
      <c r="F1560" s="16" t="s">
        <v>2083</v>
      </c>
      <c r="G1560" s="40" t="s">
        <v>545</v>
      </c>
      <c r="I1560" s="18"/>
      <c r="J1560" s="10">
        <v>1</v>
      </c>
      <c r="K1560" s="10">
        <v>113</v>
      </c>
      <c r="L1560">
        <f>ТабПозиции[[#This Row],[discountPrice]]*ТабПозиции[[#This Row],[quantity]]</f>
        <v>113</v>
      </c>
      <c r="M1560" s="10">
        <v>154</v>
      </c>
      <c r="N1560">
        <f t="shared" si="29"/>
        <v>154</v>
      </c>
      <c r="P156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Row],[orderNum]],ТабПозиции[orderSumm])&gt;1500),ABS(N1560*VLOOKUP(ТабПозиции[[#This Row],[orderNum]],ТабЗаказы[#Data],MATCH("Percent",ТабЗаказы[#Headers],0),0))/100,200/COUNTIF(ТабПозиции[orderNum],ТабПозиции[[#This Row],[orderNum]])),0),"")</f>
        <v>23</v>
      </c>
      <c r="Q1560">
        <f>IF(OR(ТабПозиции[[#This Row],[item]]="По штрихкоду",ТабПозиции[[#This Row],[item]]="Посылка"),ТабПозиции[[#This Row],[deliverySumm]]+ТабПозиции[[#This Row],[deliveryPost]],SUM(N1560:P1560))</f>
        <v>177</v>
      </c>
      <c r="R1560" s="41">
        <v>177</v>
      </c>
      <c r="S1560" s="46">
        <f>ТабПозиции[[#This Row],[totalSumm]]-ТабПозиции[[#This Row],[payment]]</f>
        <v>0</v>
      </c>
      <c r="T1560" s="18" t="s">
        <v>1016</v>
      </c>
      <c r="U1560" s="40" t="s">
        <v>545</v>
      </c>
      <c r="V1560" s="40" t="str">
        <f>IF(AND(ТабПозиции[[#This Row],[Остаток]]=0,ТабПозиции[[#This Row],[Заказан]]="Да"),"Да","Нет")</f>
        <v>Да</v>
      </c>
      <c r="W1560" s="40" t="str">
        <f>IF(AND(ТабПозиции[[#This Row],[Остаток]]=0,ТабПозиции[[#This Row],[Заказан]]="Да"),"Да","Нет")</f>
        <v>Да</v>
      </c>
      <c r="X1560" s="3"/>
      <c r="Y1560"/>
    </row>
    <row r="1561" spans="1:25" hidden="1" x14ac:dyDescent="0.25">
      <c r="A1561" s="10">
        <v>403</v>
      </c>
      <c r="B1561" s="1">
        <f>IFERROR(VLOOKUP(ТабПозиции[[#This Row],[orderNum]],ТабЗаказы[#Data],MATCH(B$7,ТабЗаказы[#Headers],0),0),"")</f>
        <v>45649</v>
      </c>
      <c r="C1561" t="str">
        <f>MONTH(ТабПозиции[[#This Row],[date]])&amp;"/"&amp;YEAR(ТабПозиции[[#This Row],[date]])</f>
        <v>12/2024</v>
      </c>
      <c r="D1561" s="1" t="str">
        <f>IFERROR(VLOOKUP(ТабПозиции[[#This Row],[orderNum]],ТабЗаказы[#Data],MATCH(D$7,ТабЗаказы[#Headers],0),0),"")</f>
        <v/>
      </c>
      <c r="E1561" s="1" t="str">
        <f>IFERROR(VLOOKUP(ТабПозиции[[#This Row],[orderNum]],ТабЗаказы[#Data],MATCH(E$7,ТабЗаказы[#Headers],0),0),"")</f>
        <v/>
      </c>
      <c r="F1561" s="16" t="s">
        <v>2084</v>
      </c>
      <c r="G1561" s="40" t="s">
        <v>545</v>
      </c>
      <c r="I1561" s="18"/>
      <c r="J1561" s="10">
        <v>1</v>
      </c>
      <c r="K1561" s="10">
        <v>48</v>
      </c>
      <c r="L1561">
        <f>ТабПозиции[[#This Row],[discountPrice]]*ТабПозиции[[#This Row],[quantity]]</f>
        <v>48</v>
      </c>
      <c r="M1561" s="10">
        <v>64</v>
      </c>
      <c r="N1561">
        <f t="shared" si="29"/>
        <v>64</v>
      </c>
      <c r="O1561" s="10">
        <v>258</v>
      </c>
      <c r="P156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Row],[orderNum]],ТабПозиции[orderSumm])&gt;1500),ABS(N1561*VLOOKUP(ТабПозиции[[#This Row],[orderNum]],ТабЗаказы[#Data],MATCH("Percent",ТабЗаказы[#Headers],0),0))/100,200/COUNTIF(ТабПозиции[orderNum],ТабПозиции[[#This Row],[orderNum]])),0),"")</f>
        <v>10</v>
      </c>
      <c r="Q1561">
        <f>IF(OR(ТабПозиции[[#This Row],[item]]="По штрихкоду",ТабПозиции[[#This Row],[item]]="Посылка"),ТабПозиции[[#This Row],[deliverySumm]]+ТабПозиции[[#This Row],[deliveryPost]],SUM(N1561:P1561))</f>
        <v>332</v>
      </c>
      <c r="R1561" s="41">
        <v>332</v>
      </c>
      <c r="S1561" s="46">
        <f>ТабПозиции[[#This Row],[totalSumm]]-ТабПозиции[[#This Row],[payment]]</f>
        <v>0</v>
      </c>
      <c r="T1561" s="18" t="s">
        <v>1016</v>
      </c>
      <c r="U1561" s="40" t="s">
        <v>545</v>
      </c>
      <c r="V1561" s="40" t="str">
        <f>IF(AND(ТабПозиции[[#This Row],[Остаток]]=0,ТабПозиции[[#This Row],[Заказан]]="Да"),"Да","Нет")</f>
        <v>Да</v>
      </c>
      <c r="W1561" s="40" t="str">
        <f>IF(AND(ТабПозиции[[#This Row],[Остаток]]=0,ТабПозиции[[#This Row],[Заказан]]="Да"),"Да","Нет")</f>
        <v>Да</v>
      </c>
      <c r="X1561" s="3"/>
      <c r="Y1561"/>
    </row>
    <row r="1562" spans="1:25" hidden="1" x14ac:dyDescent="0.25">
      <c r="A1562" s="10">
        <v>410</v>
      </c>
      <c r="B1562" s="1">
        <f>IFERROR(VLOOKUP(ТабПозиции[[#This Row],[orderNum]],ТабЗаказы[#Data],MATCH(B$7,ТабЗаказы[#Headers],0),0),"")</f>
        <v>45652</v>
      </c>
      <c r="C1562" t="str">
        <f>MONTH(ТабПозиции[[#This Row],[date]])&amp;"/"&amp;YEAR(ТабПозиции[[#This Row],[date]])</f>
        <v>12/2024</v>
      </c>
      <c r="D1562" s="1" t="str">
        <f>IFERROR(VLOOKUP(ТабПозиции[[#This Row],[orderNum]],ТабЗаказы[#Data],MATCH(D$7,ТабЗаказы[#Headers],0),0),"")</f>
        <v/>
      </c>
      <c r="E1562" s="1" t="str">
        <f>IFERROR(VLOOKUP(ТабПозиции[[#This Row],[orderNum]],ТабЗаказы[#Data],MATCH(E$7,ТабЗаказы[#Headers],0),0),"")</f>
        <v/>
      </c>
      <c r="F1562" s="10" t="s">
        <v>820</v>
      </c>
      <c r="G1562" s="40" t="s">
        <v>545</v>
      </c>
      <c r="H1562" s="57" t="s">
        <v>2086</v>
      </c>
      <c r="I1562" s="18">
        <v>45648</v>
      </c>
      <c r="J1562" s="10">
        <v>1</v>
      </c>
      <c r="L1562">
        <f>ТабПозиции[[#This Row],[discountPrice]]*ТабПозиции[[#This Row],[quantity]]</f>
        <v>0</v>
      </c>
      <c r="N1562">
        <f t="shared" si="29"/>
        <v>0</v>
      </c>
      <c r="P156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Row],[orderNum]],ТабПозиции[orderSumm])&gt;1500),ABS(N1562*VLOOKUP(ТабПозиции[[#This Row],[orderNum]],ТабЗаказы[#Data],MATCH("Percent",ТабЗаказы[#Headers],0),0))/100,200/COUNTIF(ТабПозиции[orderNum],ТабПозиции[[#This Row],[orderNum]])),0),"")</f>
        <v>0</v>
      </c>
      <c r="Q1562">
        <f>IF(OR(ТабПозиции[[#This Row],[item]]="По штрихкоду",ТабПозиции[[#This Row],[item]]="Посылка"),ТабПозиции[[#This Row],[deliverySumm]]+ТабПозиции[[#This Row],[deliveryPost]],SUM(N1562:P1562))</f>
        <v>0</v>
      </c>
      <c r="S1562" s="46">
        <f>ТабПозиции[[#This Row],[totalSumm]]-ТабПозиции[[#This Row],[payment]]</f>
        <v>0</v>
      </c>
      <c r="T1562" s="18" t="s">
        <v>1021</v>
      </c>
      <c r="U1562" s="40" t="s">
        <v>545</v>
      </c>
      <c r="V1562" s="40" t="str">
        <f>IF(AND(ТабПозиции[[#This Row],[Остаток]]=0,ТабПозиции[[#This Row],[Заказан]]="Да"),"Да","Нет")</f>
        <v>Да</v>
      </c>
      <c r="W1562" s="40" t="s">
        <v>545</v>
      </c>
      <c r="X1562" s="3"/>
      <c r="Y1562"/>
    </row>
    <row r="1563" spans="1:25" hidden="1" x14ac:dyDescent="0.25">
      <c r="A1563" s="10">
        <v>410</v>
      </c>
      <c r="B1563" s="1">
        <f>IFERROR(VLOOKUP(ТабПозиции[[#This Row],[orderNum]],ТабЗаказы[#Data],MATCH(B$7,ТабЗаказы[#Headers],0),0),"")</f>
        <v>45652</v>
      </c>
      <c r="C1563" t="str">
        <f>MONTH(ТабПозиции[[#This Row],[date]])&amp;"/"&amp;YEAR(ТабПозиции[[#This Row],[date]])</f>
        <v>12/2024</v>
      </c>
      <c r="D1563" s="1" t="str">
        <f>IFERROR(VLOOKUP(ТабПозиции[[#This Row],[orderNum]],ТабЗаказы[#Data],MATCH(D$7,ТабЗаказы[#Headers],0),0),"")</f>
        <v/>
      </c>
      <c r="E1563" s="1" t="str">
        <f>IFERROR(VLOOKUP(ТабПозиции[[#This Row],[orderNum]],ТабЗаказы[#Data],MATCH(E$7,ТабЗаказы[#Headers],0),0),"")</f>
        <v/>
      </c>
      <c r="F1563" s="10" t="s">
        <v>820</v>
      </c>
      <c r="G1563" s="40" t="s">
        <v>545</v>
      </c>
      <c r="H1563" s="12" t="s">
        <v>2087</v>
      </c>
      <c r="I1563" s="18">
        <v>45647</v>
      </c>
      <c r="J1563" s="10">
        <v>1</v>
      </c>
      <c r="K1563" s="10">
        <v>6368</v>
      </c>
      <c r="L1563">
        <f>ТабПозиции[[#This Row],[discountPrice]]*ТабПозиции[[#This Row],[quantity]]</f>
        <v>6368</v>
      </c>
      <c r="M1563" s="10">
        <v>6368</v>
      </c>
      <c r="N1563">
        <f t="shared" si="29"/>
        <v>6368</v>
      </c>
      <c r="P156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Row],[orderNum]],ТабПозиции[orderSumm])&gt;1500),ABS(N1563*VLOOKUP(ТабПозиции[[#This Row],[orderNum]],ТабЗаказы[#Data],MATCH("Percent",ТабЗаказы[#Headers],0),0))/100,200/COUNTIF(ТабПозиции[orderNum],ТабПозиции[[#This Row],[orderNum]])),0),"")</f>
        <v>955</v>
      </c>
      <c r="Q1563">
        <f>IF(OR(ТабПозиции[[#This Row],[item]]="По штрихкоду",ТабПозиции[[#This Row],[item]]="Посылка"),ТабПозиции[[#This Row],[deliverySumm]]+ТабПозиции[[#This Row],[deliveryPost]],SUM(N1563:P1563))</f>
        <v>955</v>
      </c>
      <c r="R1563" s="41">
        <v>955</v>
      </c>
      <c r="S1563" s="46">
        <f>ТабПозиции[[#This Row],[totalSumm]]-ТабПозиции[[#This Row],[payment]]</f>
        <v>0</v>
      </c>
      <c r="T1563" s="18" t="s">
        <v>1021</v>
      </c>
      <c r="U1563" s="40" t="s">
        <v>545</v>
      </c>
      <c r="V1563" s="40" t="str">
        <f>IF(AND(ТабПозиции[[#This Row],[Остаток]]=0,ТабПозиции[[#This Row],[Заказан]]="Да"),"Да","Нет")</f>
        <v>Да</v>
      </c>
      <c r="W1563" s="40" t="s">
        <v>545</v>
      </c>
      <c r="X1563" s="3"/>
      <c r="Y1563"/>
    </row>
    <row r="1564" spans="1:25" hidden="1" x14ac:dyDescent="0.25">
      <c r="A1564" s="10">
        <v>410</v>
      </c>
      <c r="B1564" s="1">
        <f>IFERROR(VLOOKUP(ТабПозиции[[#This Row],[orderNum]],ТабЗаказы[#Data],MATCH(B$7,ТабЗаказы[#Headers],0),0),"")</f>
        <v>45652</v>
      </c>
      <c r="C1564" t="str">
        <f>MONTH(ТабПозиции[[#This Row],[date]])&amp;"/"&amp;YEAR(ТабПозиции[[#This Row],[date]])</f>
        <v>12/2024</v>
      </c>
      <c r="D1564" s="1" t="str">
        <f>IFERROR(VLOOKUP(ТабПозиции[[#This Row],[orderNum]],ТабЗаказы[#Data],MATCH(D$7,ТабЗаказы[#Headers],0),0),"")</f>
        <v/>
      </c>
      <c r="E1564" s="1" t="str">
        <f>IFERROR(VLOOKUP(ТабПозиции[[#This Row],[orderNum]],ТабЗаказы[#Data],MATCH(E$7,ТабЗаказы[#Headers],0),0),"")</f>
        <v/>
      </c>
      <c r="F1564" s="10" t="s">
        <v>32</v>
      </c>
      <c r="G1564" s="40" t="s">
        <v>545</v>
      </c>
      <c r="I1564" s="18">
        <v>45653</v>
      </c>
      <c r="J1564" s="10">
        <v>1</v>
      </c>
      <c r="K1564" s="10">
        <v>1437</v>
      </c>
      <c r="L1564">
        <f>ТабПозиции[[#This Row],[discountPrice]]*ТабПозиции[[#This Row],[quantity]]</f>
        <v>1437</v>
      </c>
      <c r="M1564" s="10">
        <v>1437</v>
      </c>
      <c r="N1564">
        <f t="shared" si="29"/>
        <v>1437</v>
      </c>
      <c r="P156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Row],[orderNum]],ТабПозиции[orderSumm])&gt;1500),ABS(N1564*VLOOKUP(ТабПозиции[[#This Row],[orderNum]],ТабЗаказы[#Data],MATCH("Percent",ТабЗаказы[#Headers],0),0))/100,200/COUNTIF(ТабПозиции[orderNum],ТабПозиции[[#This Row],[orderNum]])),0),"")</f>
        <v>216</v>
      </c>
      <c r="Q1564">
        <f>IF(OR(ТабПозиции[[#This Row],[item]]="По штрихкоду",ТабПозиции[[#This Row],[item]]="Посылка"),ТабПозиции[[#This Row],[deliverySumm]]+ТабПозиции[[#This Row],[deliveryPost]],SUM(N1564:P1564))</f>
        <v>216</v>
      </c>
      <c r="R1564" s="41">
        <v>216</v>
      </c>
      <c r="S1564" s="46">
        <f>ТабПозиции[[#This Row],[totalSumm]]-ТабПозиции[[#This Row],[payment]]</f>
        <v>0</v>
      </c>
      <c r="T1564" s="18" t="s">
        <v>960</v>
      </c>
      <c r="U1564" s="40" t="s">
        <v>545</v>
      </c>
      <c r="V1564" s="40" t="str">
        <f>IF(AND(ТабПозиции[[#This Row],[Остаток]]=0,ТабПозиции[[#This Row],[Заказан]]="Да"),"Да","Нет")</f>
        <v>Да</v>
      </c>
      <c r="W1564" s="40" t="s">
        <v>545</v>
      </c>
      <c r="X1564" s="3"/>
      <c r="Y1564"/>
    </row>
    <row r="1565" spans="1:25" hidden="1" x14ac:dyDescent="0.25">
      <c r="A1565" s="10">
        <v>411</v>
      </c>
      <c r="B1565" s="1">
        <f>IFERROR(VLOOKUP(ТабПозиции[[#This Row],[orderNum]],ТабЗаказы[#Data],MATCH(B$7,ТабЗаказы[#Headers],0),0),"")</f>
        <v>45653</v>
      </c>
      <c r="C1565" t="str">
        <f>MONTH(ТабПозиции[[#This Row],[date]])&amp;"/"&amp;YEAR(ТабПозиции[[#This Row],[date]])</f>
        <v>12/2024</v>
      </c>
      <c r="D1565" s="1" t="str">
        <f>IFERROR(VLOOKUP(ТабПозиции[[#This Row],[orderNum]],ТабЗаказы[#Data],MATCH(D$7,ТабЗаказы[#Headers],0),0),"")</f>
        <v/>
      </c>
      <c r="E1565" s="1" t="str">
        <f>IFERROR(VLOOKUP(ТабПозиции[[#This Row],[orderNum]],ТабЗаказы[#Data],MATCH(E$7,ТабЗаказы[#Headers],0),0),"")</f>
        <v/>
      </c>
      <c r="F1565" s="10" t="s">
        <v>32</v>
      </c>
      <c r="G1565" s="40" t="s">
        <v>545</v>
      </c>
      <c r="I1565" s="18">
        <v>45653</v>
      </c>
      <c r="J1565" s="10">
        <v>1</v>
      </c>
      <c r="K1565" s="10">
        <f>5223+2805</f>
        <v>8028</v>
      </c>
      <c r="L1565">
        <f>ТабПозиции[[#This Row],[discountPrice]]*ТабПозиции[[#This Row],[quantity]]</f>
        <v>8028</v>
      </c>
      <c r="M1565" s="10">
        <v>8028</v>
      </c>
      <c r="N1565">
        <f t="shared" si="29"/>
        <v>8028</v>
      </c>
      <c r="O1565" s="10">
        <v>200</v>
      </c>
      <c r="P156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Row],[orderNum]],ТабПозиции[orderSumm])&gt;1500),ABS(N1565*VLOOKUP(ТабПозиции[[#This Row],[orderNum]],ТабЗаказы[#Data],MATCH("Percent",ТабЗаказы[#Headers],0),0))/100,200/COUNTIF(ТабПозиции[orderNum],ТабПозиции[[#This Row],[orderNum]])),0),"")</f>
        <v>803</v>
      </c>
      <c r="Q1565">
        <f>IF(OR(ТабПозиции[[#This Row],[item]]="По штрихкоду",ТабПозиции[[#This Row],[item]]="Посылка"),ТабПозиции[[#This Row],[deliverySumm]]+ТабПозиции[[#This Row],[deliveryPost]],SUM(N1565:P1565))</f>
        <v>1003</v>
      </c>
      <c r="R1565" s="41">
        <v>1003</v>
      </c>
      <c r="S1565" s="46">
        <f>ТабПозиции[[#This Row],[totalSumm]]-ТабПозиции[[#This Row],[payment]]</f>
        <v>0</v>
      </c>
      <c r="T1565" s="18" t="s">
        <v>960</v>
      </c>
      <c r="U1565" s="40" t="s">
        <v>545</v>
      </c>
      <c r="V1565" s="40" t="str">
        <f>IF(AND(ТабПозиции[[#This Row],[Остаток]]=0,ТабПозиции[[#This Row],[Заказан]]="Да"),"Да","Нет")</f>
        <v>Да</v>
      </c>
      <c r="W1565" s="40" t="s">
        <v>545</v>
      </c>
      <c r="X1565" s="3"/>
      <c r="Y1565"/>
    </row>
    <row r="1566" spans="1:25" hidden="1" x14ac:dyDescent="0.25">
      <c r="A1566" s="10">
        <v>412</v>
      </c>
      <c r="B1566" s="1">
        <f>IFERROR(VLOOKUP(ТабПозиции[[#This Row],[orderNum]],ТабЗаказы[#Data],MATCH(B$7,ТабЗаказы[#Headers],0),0),"")</f>
        <v>45653</v>
      </c>
      <c r="C1566" t="str">
        <f>MONTH(ТабПозиции[[#This Row],[date]])&amp;"/"&amp;YEAR(ТабПозиции[[#This Row],[date]])</f>
        <v>12/2024</v>
      </c>
      <c r="D1566" s="1" t="str">
        <f>IFERROR(VLOOKUP(ТабПозиции[[#This Row],[orderNum]],ТабЗаказы[#Data],MATCH(D$7,ТабЗаказы[#Headers],0),0),"")</f>
        <v/>
      </c>
      <c r="E1566" s="1" t="str">
        <f>IFERROR(VLOOKUP(ТабПозиции[[#This Row],[orderNum]],ТабЗаказы[#Data],MATCH(E$7,ТабЗаказы[#Headers],0),0),"")</f>
        <v/>
      </c>
      <c r="F1566" s="10" t="s">
        <v>32</v>
      </c>
      <c r="G1566" s="40" t="s">
        <v>545</v>
      </c>
      <c r="I1566" s="18">
        <v>45653</v>
      </c>
      <c r="J1566" s="10">
        <v>1</v>
      </c>
      <c r="K1566" s="10">
        <v>1229</v>
      </c>
      <c r="L1566">
        <f>ТабПозиции[[#This Row],[discountPrice]]*ТабПозиции[[#This Row],[quantity]]</f>
        <v>1229</v>
      </c>
      <c r="M1566" s="10">
        <v>1229</v>
      </c>
      <c r="N1566">
        <f t="shared" si="29"/>
        <v>1229</v>
      </c>
      <c r="P156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Row],[orderNum]],ТабПозиции[orderSumm])&gt;1500),ABS(N1566*VLOOKUP(ТабПозиции[[#This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566">
        <f>IF(OR(ТабПозиции[[#This Row],[item]]="По штрихкоду",ТабПозиции[[#This Row],[item]]="Посылка"),ТабПозиции[[#This Row],[deliverySumm]]+ТабПозиции[[#This Row],[deliveryPost]],SUM(N1566:P1566))</f>
        <v>200</v>
      </c>
      <c r="R1566" s="41">
        <v>200</v>
      </c>
      <c r="S1566" s="46">
        <f>ТабПозиции[[#This Row],[totalSumm]]-ТабПозиции[[#This Row],[payment]]</f>
        <v>0</v>
      </c>
      <c r="T1566" s="18" t="s">
        <v>960</v>
      </c>
      <c r="U1566" s="40" t="s">
        <v>545</v>
      </c>
      <c r="V1566" s="40" t="str">
        <f>IF(AND(ТабПозиции[[#This Row],[Остаток]]=0,ТабПозиции[[#This Row],[Заказан]]="Да"),"Да","Нет")</f>
        <v>Да</v>
      </c>
      <c r="W1566" s="40" t="s">
        <v>545</v>
      </c>
      <c r="X1566" s="3"/>
      <c r="Y1566"/>
    </row>
    <row r="1567" spans="1:25" hidden="1" x14ac:dyDescent="0.25">
      <c r="A1567" s="10">
        <v>413</v>
      </c>
      <c r="B1567" s="1">
        <f>IFERROR(VLOOKUP(ТабПозиции[[#This Row],[orderNum]],ТабЗаказы[#Data],MATCH(B$7,ТабЗаказы[#Headers],0),0),"")</f>
        <v>45653</v>
      </c>
      <c r="C1567" t="str">
        <f>MONTH(ТабПозиции[[#This Row],[date]])&amp;"/"&amp;YEAR(ТабПозиции[[#This Row],[date]])</f>
        <v>12/2024</v>
      </c>
      <c r="D1567" s="1" t="str">
        <f>IFERROR(VLOOKUP(ТабПозиции[[#This Row],[orderNum]],ТабЗаказы[#Data],MATCH(D$7,ТабЗаказы[#Headers],0),0),"")</f>
        <v/>
      </c>
      <c r="E1567" s="1" t="str">
        <f>IFERROR(VLOOKUP(ТабПозиции[[#This Row],[orderNum]],ТабЗаказы[#Data],MATCH(E$7,ТабЗаказы[#Headers],0),0),"")</f>
        <v/>
      </c>
      <c r="F1567" s="10" t="s">
        <v>32</v>
      </c>
      <c r="G1567" s="40" t="s">
        <v>545</v>
      </c>
      <c r="I1567" s="18">
        <v>45653</v>
      </c>
      <c r="J1567" s="10">
        <v>1</v>
      </c>
      <c r="K1567" s="10">
        <v>8468</v>
      </c>
      <c r="L1567">
        <f>ТабПозиции[[#This Row],[discountPrice]]*ТабПозиции[[#This Row],[quantity]]</f>
        <v>8468</v>
      </c>
      <c r="M1567" s="10">
        <v>8468</v>
      </c>
      <c r="N1567">
        <f t="shared" si="29"/>
        <v>8468</v>
      </c>
      <c r="P156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Row],[orderNum]],ТабПозиции[orderSumm])&gt;1500),ABS(N1567*VLOOKUP(ТабПозиции[[#This Row],[orderNum]],ТабЗаказы[#Data],MATCH("Percent",ТабЗаказы[#Headers],0),0))/100,200/COUNTIF(ТабПозиции[orderNum],ТабПозиции[[#This Row],[orderNum]])),0),"")</f>
        <v>1270</v>
      </c>
      <c r="Q1567">
        <f>IF(OR(ТабПозиции[[#This Row],[item]]="По штрихкоду",ТабПозиции[[#This Row],[item]]="Посылка"),ТабПозиции[[#This Row],[deliverySumm]]+ТабПозиции[[#This Row],[deliveryPost]],SUM(N1567:P1567))</f>
        <v>1270</v>
      </c>
      <c r="R1567" s="41">
        <v>1270</v>
      </c>
      <c r="S1567" s="46">
        <f>ТабПозиции[[#This Row],[totalSumm]]-ТабПозиции[[#This Row],[payment]]</f>
        <v>0</v>
      </c>
      <c r="T1567" s="18" t="s">
        <v>960</v>
      </c>
      <c r="U1567" s="40" t="s">
        <v>545</v>
      </c>
      <c r="V1567" s="40" t="str">
        <f>IF(AND(ТабПозиции[[#This Row],[Остаток]]=0,ТабПозиции[[#This Row],[Заказан]]="Да"),"Да","Нет")</f>
        <v>Да</v>
      </c>
      <c r="W1567" s="40" t="s">
        <v>545</v>
      </c>
      <c r="X1567" s="3"/>
      <c r="Y1567"/>
    </row>
    <row r="1568" spans="1:25" hidden="1" x14ac:dyDescent="0.25">
      <c r="A1568" s="10">
        <v>414</v>
      </c>
      <c r="B1568" s="1">
        <f>IFERROR(VLOOKUP(ТабПозиции[[#This Row],[orderNum]],ТабЗаказы[#Data],MATCH(B$7,ТабЗаказы[#Headers],0),0),"")</f>
        <v>46019</v>
      </c>
      <c r="C1568" t="str">
        <f>MONTH(ТабПозиции[[#This Row],[date]])&amp;"/"&amp;YEAR(ТабПозиции[[#This Row],[date]])</f>
        <v>12/2025</v>
      </c>
      <c r="D1568" s="1" t="str">
        <f>IFERROR(VLOOKUP(ТабПозиции[[#This Row],[orderNum]],ТабЗаказы[#Data],MATCH(D$7,ТабЗаказы[#Headers],0),0),"")</f>
        <v/>
      </c>
      <c r="E1568" s="1" t="str">
        <f>IFERROR(VLOOKUP(ТабПозиции[[#This Row],[orderNum]],ТабЗаказы[#Data],MATCH(E$7,ТабЗаказы[#Headers],0),0),"")</f>
        <v/>
      </c>
      <c r="F1568" s="58" t="s">
        <v>1273</v>
      </c>
      <c r="G1568" s="40" t="s">
        <v>545</v>
      </c>
      <c r="I1568" s="18">
        <v>45655</v>
      </c>
      <c r="J1568" s="10">
        <v>1</v>
      </c>
      <c r="K1568" s="10">
        <v>200</v>
      </c>
      <c r="L1568">
        <f>ТабПозиции[[#This Row],[discountPrice]]*ТабПозиции[[#This Row],[quantity]]</f>
        <v>200</v>
      </c>
      <c r="M1568" s="10">
        <v>207</v>
      </c>
      <c r="N1568">
        <f t="shared" si="29"/>
        <v>207</v>
      </c>
      <c r="P156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Row],[orderNum]],ТабПозиции[orderSumm])&gt;1500),ABS(N1568*VLOOKUP(ТабПозиции[[#This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1568">
        <f>IF(OR(ТабПозиции[[#This Row],[item]]="По штрихкоду",ТабПозиции[[#This Row],[item]]="Посылка"),ТабПозиции[[#This Row],[deliverySumm]]+ТабПозиции[[#This Row],[deliveryPost]],SUM(N1568:P1568))</f>
        <v>307</v>
      </c>
      <c r="R1568" s="41">
        <v>307</v>
      </c>
      <c r="S1568" s="46">
        <f>ТабПозиции[[#This Row],[totalSumm]]-ТабПозиции[[#This Row],[payment]]</f>
        <v>0</v>
      </c>
      <c r="T1568" s="18" t="s">
        <v>960</v>
      </c>
      <c r="U1568" s="40" t="s">
        <v>545</v>
      </c>
      <c r="V1568" s="40" t="str">
        <f>IF(AND(ТабПозиции[[#This Row],[Остаток]]=0,ТабПозиции[[#This Row],[Заказан]]="Да"),"Да","Нет")</f>
        <v>Да</v>
      </c>
      <c r="W1568" s="40" t="str">
        <f>IF(AND(ТабПозиции[[#This Row],[Остаток]]=0,ТабПозиции[[#This Row],[Заказан]]="Да"),"Да","Нет")</f>
        <v>Да</v>
      </c>
      <c r="X1568" s="3"/>
      <c r="Y1568"/>
    </row>
    <row r="1569" spans="1:27" x14ac:dyDescent="0.25">
      <c r="A1569" s="10">
        <v>414</v>
      </c>
      <c r="B1569" s="1">
        <f>IFERROR(VLOOKUP(ТабПозиции[[#This Row],[orderNum]],ТабЗаказы[#Data],MATCH(B$7,ТабЗаказы[#Headers],0),0),"")</f>
        <v>46019</v>
      </c>
      <c r="C1569" t="str">
        <f>MONTH(ТабПозиции[[#This Row],[date]])&amp;"/"&amp;YEAR(ТабПозиции[[#This Row],[date]])</f>
        <v>12/2025</v>
      </c>
      <c r="D1569" s="1" t="str">
        <f>IFERROR(VLOOKUP(ТабПозиции[[#This Row],[orderNum]],ТабЗаказы[#Data],MATCH(D$7,ТабЗаказы[#Headers],0),0),"")</f>
        <v/>
      </c>
      <c r="E1569" s="1" t="str">
        <f>IFERROR(VLOOKUP(ТабПозиции[[#This Row],[orderNum]],ТабЗаказы[#Data],MATCH(E$7,ТабЗаказы[#Headers],0),0),"")</f>
        <v/>
      </c>
      <c r="F1569" s="58" t="s">
        <v>2097</v>
      </c>
      <c r="G1569" s="40" t="s">
        <v>490</v>
      </c>
      <c r="H1569" s="12" t="s">
        <v>2112</v>
      </c>
      <c r="I1569" s="18">
        <v>45316</v>
      </c>
      <c r="J1569" s="10">
        <v>1</v>
      </c>
      <c r="K1569" s="10">
        <v>641</v>
      </c>
      <c r="L1569">
        <f>ТабПозиции[[#This Row],[discountPrice]]*ТабПозиции[[#This Row],[quantity]]</f>
        <v>641</v>
      </c>
      <c r="M1569" s="10">
        <v>683</v>
      </c>
      <c r="N1569">
        <f t="shared" si="29"/>
        <v>683</v>
      </c>
      <c r="P156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Row],[orderNum]],ТабПозиции[orderSumm])&gt;1500),ABS(N1569*VLOOKUP(ТабПозиции[[#This Row],[orderNum]],ТабЗаказы[#Data],MATCH("Percent",ТабЗаказы[#Headers],0),0))/100,200/COUNTIF(ТабПозиции[orderNum],ТабПозиции[[#This Row],[orderNum]])),0),"")</f>
        <v>100</v>
      </c>
      <c r="Q1569">
        <f>IF(OR(ТабПозиции[[#This Row],[item]]="По штрихкоду",ТабПозиции[[#This Row],[item]]="Посылка"),ТабПозиции[[#This Row],[deliverySumm]]+ТабПозиции[[#This Row],[deliveryPost]],SUM(N1569:P1569))</f>
        <v>783</v>
      </c>
      <c r="R1569" s="41">
        <v>783</v>
      </c>
      <c r="S1569" s="46">
        <f>ТабПозиции[[#This Row],[totalSumm]]-ТабПозиции[[#This Row],[payment]]</f>
        <v>0</v>
      </c>
      <c r="T1569" s="18" t="s">
        <v>960</v>
      </c>
      <c r="U1569" s="40" t="s">
        <v>545</v>
      </c>
      <c r="V1569" s="40" t="str">
        <f>IF(AND(ТабПозиции[[#This Row],[Остаток]]=0,ТабПозиции[[#This Row],[Заказан]]="Да"),"Да","Нет")</f>
        <v>Да</v>
      </c>
      <c r="W1569" s="40" t="s">
        <v>490</v>
      </c>
      <c r="X1569" s="3"/>
      <c r="Y1569"/>
    </row>
    <row r="1570" spans="1:27" x14ac:dyDescent="0.25">
      <c r="A1570" s="10">
        <v>415</v>
      </c>
      <c r="B1570" s="1">
        <f>IFERROR(VLOOKUP(ТабПозиции[[#This Row],[orderNum]],ТабЗаказы[#Data],MATCH(B$7,ТабЗаказы[#Headers],0),0),"")</f>
        <v>45656</v>
      </c>
      <c r="C1570" t="str">
        <f>MONTH(ТабПозиции[[#This Row],[date]])&amp;"/"&amp;YEAR(ТабПозиции[[#This Row],[date]])</f>
        <v>12/2024</v>
      </c>
      <c r="D1570" s="1" t="str">
        <f>IFERROR(VLOOKUP(ТабПозиции[[#This Row],[orderNum]],ТабЗаказы[#Data],MATCH(D$7,ТабЗаказы[#Headers],0),0),"")</f>
        <v/>
      </c>
      <c r="E1570" s="1" t="str">
        <f>IFERROR(VLOOKUP(ТабПозиции[[#This Row],[orderNum]],ТабЗаказы[#Data],MATCH(E$7,ТабЗаказы[#Headers],0),0),"")</f>
        <v/>
      </c>
      <c r="F1570" s="58" t="s">
        <v>2102</v>
      </c>
      <c r="G1570" s="40" t="s">
        <v>490</v>
      </c>
      <c r="I1570" s="18">
        <v>45321</v>
      </c>
      <c r="J1570" s="10">
        <v>1</v>
      </c>
      <c r="K1570" s="10">
        <v>470</v>
      </c>
      <c r="L1570">
        <f>ТабПозиции[[#This Row],[discountPrice]]*ТабПозиции[[#This Row],[quantity]]</f>
        <v>470</v>
      </c>
      <c r="M1570" s="10">
        <v>501</v>
      </c>
      <c r="N1570">
        <f t="shared" si="29"/>
        <v>501</v>
      </c>
      <c r="P157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Row],[orderNum]],ТабПозиции[orderSumm])&gt;1500),ABS(N1570*VLOOKUP(ТабПозиции[[#This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570">
        <f>IF(OR(ТабПозиции[[#This Row],[item]]="По штрихкоду",ТабПозиции[[#This Row],[item]]="Посылка"),ТабПозиции[[#This Row],[deliverySumm]]+ТабПозиции[[#This Row],[deliveryPost]],SUM(N1570:P1570))</f>
        <v>701</v>
      </c>
      <c r="R1570" s="41">
        <v>701</v>
      </c>
      <c r="S1570" s="46">
        <f>ТабПозиции[[#This Row],[totalSumm]]-ТабПозиции[[#This Row],[payment]]</f>
        <v>0</v>
      </c>
      <c r="T1570" s="18" t="s">
        <v>960</v>
      </c>
      <c r="U1570" s="40" t="s">
        <v>545</v>
      </c>
      <c r="V1570" s="40" t="str">
        <f>IF(AND(ТабПозиции[[#This Row],[Остаток]]=0,ТабПозиции[[#This Row],[Заказан]]="Да"),"Да","Нет")</f>
        <v>Да</v>
      </c>
      <c r="W1570" s="40" t="s">
        <v>490</v>
      </c>
      <c r="X1570" s="3"/>
      <c r="Y1570"/>
    </row>
    <row r="1571" spans="1:27" x14ac:dyDescent="0.25">
      <c r="A1571" s="10">
        <v>416</v>
      </c>
      <c r="B1571" s="1">
        <f>IFERROR(VLOOKUP(ТабПозиции[[#This Row],[orderNum]],ТабЗаказы[#Data],MATCH(B$7,ТабЗаказы[#Headers],0),0),"")</f>
        <v>45656</v>
      </c>
      <c r="C1571" t="str">
        <f>MONTH(ТабПозиции[[#This Row],[date]])&amp;"/"&amp;YEAR(ТабПозиции[[#This Row],[date]])</f>
        <v>12/2024</v>
      </c>
      <c r="D1571" s="1" t="str">
        <f>IFERROR(VLOOKUP(ТабПозиции[[#This Row],[orderNum]],ТабЗаказы[#Data],MATCH(D$7,ТабЗаказы[#Headers],0),0),"")</f>
        <v/>
      </c>
      <c r="E1571" s="1" t="str">
        <f>IFERROR(VLOOKUP(ТабПозиции[[#This Row],[orderNum]],ТабЗаказы[#Data],MATCH(E$7,ТабЗаказы[#Headers],0),0),"")</f>
        <v/>
      </c>
      <c r="F1571" s="58" t="s">
        <v>1716</v>
      </c>
      <c r="G1571" s="40" t="s">
        <v>490</v>
      </c>
      <c r="I1571" s="18">
        <v>45303</v>
      </c>
      <c r="J1571" s="10">
        <v>1</v>
      </c>
      <c r="K1571" s="10">
        <v>842</v>
      </c>
      <c r="L1571">
        <f>ТабПозиции[[#This Row],[discountPrice]]*ТабПозиции[[#This Row],[quantity]]</f>
        <v>842</v>
      </c>
      <c r="M1571" s="10">
        <v>906</v>
      </c>
      <c r="N1571">
        <f t="shared" si="29"/>
        <v>906</v>
      </c>
      <c r="P157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Row],[orderNum]],ТабПозиции[orderSumm])&gt;1500),ABS(N1571*VLOOKUP(ТабПозиции[[#This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571">
        <f>IF(OR(ТабПозиции[[#This Row],[item]]="По штрихкоду",ТабПозиции[[#This Row],[item]]="Посылка"),ТабПозиции[[#This Row],[deliverySumm]]+ТабПозиции[[#This Row],[deliveryPost]],SUM(N1571:P1571))</f>
        <v>1106</v>
      </c>
      <c r="R1571" s="41">
        <v>1106</v>
      </c>
      <c r="S1571" s="46">
        <f>ТабПозиции[[#This Row],[totalSumm]]-ТабПозиции[[#This Row],[payment]]</f>
        <v>0</v>
      </c>
      <c r="T1571" s="18" t="s">
        <v>960</v>
      </c>
      <c r="U1571" s="40" t="s">
        <v>545</v>
      </c>
      <c r="V1571" s="40" t="str">
        <f>IF(AND(ТабПозиции[[#This Row],[Остаток]]=0,ТабПозиции[[#This Row],[Заказан]]="Да"),"Да","Нет")</f>
        <v>Да</v>
      </c>
      <c r="W1571" s="40" t="s">
        <v>490</v>
      </c>
      <c r="X1571" s="3"/>
      <c r="Y1571"/>
    </row>
    <row r="1572" spans="1:27" hidden="1" x14ac:dyDescent="0.25">
      <c r="A1572" s="10">
        <v>417</v>
      </c>
      <c r="B1572" s="1">
        <f>IFERROR(VLOOKUP(ТабПозиции[[#This Row],[orderNum]],ТабЗаказы[#Data],MATCH(B$7,ТабЗаказы[#Headers],0),0),"")</f>
        <v>45656</v>
      </c>
      <c r="C1572" t="str">
        <f>MONTH(ТабПозиции[[#This Row],[date]])&amp;"/"&amp;YEAR(ТабПозиции[[#This Row],[date]])</f>
        <v>12/2024</v>
      </c>
      <c r="D1572" s="1" t="str">
        <f>IFERROR(VLOOKUP(ТабПозиции[[#This Row],[orderNum]],ТабЗаказы[#Data],MATCH(D$7,ТабЗаказы[#Headers],0),0),"")</f>
        <v/>
      </c>
      <c r="E1572" s="1" t="str">
        <f>IFERROR(VLOOKUP(ТабПозиции[[#This Row],[orderNum]],ТабЗаказы[#Data],MATCH(E$7,ТабЗаказы[#Headers],0),0),"")</f>
        <v/>
      </c>
      <c r="F1572" s="58" t="s">
        <v>2103</v>
      </c>
      <c r="G1572" s="40" t="s">
        <v>545</v>
      </c>
      <c r="I1572" s="18">
        <v>45293</v>
      </c>
      <c r="J1572" s="10">
        <v>1</v>
      </c>
      <c r="K1572" s="10">
        <v>1188</v>
      </c>
      <c r="L1572">
        <f>ТабПозиции[[#This Row],[discountPrice]]*ТабПозиции[[#This Row],[quantity]]</f>
        <v>1188</v>
      </c>
      <c r="M1572" s="10">
        <v>1188</v>
      </c>
      <c r="N1572">
        <f t="shared" si="29"/>
        <v>1188</v>
      </c>
      <c r="P157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Row],[orderNum]],ТабПозиции[orderSumm])&gt;1500),ABS(N1572*VLOOKUP(ТабПозиции[[#This Row],[orderNum]],ТабЗаказы[#Data],MATCH("Percent",ТабЗаказы[#Headers],0),0))/100,200/COUNTIF(ТабПозиции[orderNum],ТабПозиции[[#This Row],[orderNum]])),0),"")</f>
        <v>178</v>
      </c>
      <c r="Q1572">
        <f>IF(OR(ТабПозиции[[#This Row],[item]]="По штрихкоду",ТабПозиции[[#This Row],[item]]="Посылка"),ТабПозиции[[#This Row],[deliverySumm]]+ТабПозиции[[#This Row],[deliveryPost]],SUM(N1572:P1572))</f>
        <v>1366</v>
      </c>
      <c r="R1572" s="41">
        <v>1366</v>
      </c>
      <c r="S1572" s="46">
        <f>ТабПозиции[[#This Row],[totalSumm]]-ТабПозиции[[#This Row],[payment]]</f>
        <v>0</v>
      </c>
      <c r="T1572" s="18" t="s">
        <v>970</v>
      </c>
      <c r="U1572" s="40" t="s">
        <v>545</v>
      </c>
      <c r="V1572" s="40" t="str">
        <f>IF(AND(ТабПозиции[[#This Row],[Остаток]]=0,ТабПозиции[[#This Row],[Заказан]]="Да"),"Да","Нет")</f>
        <v>Да</v>
      </c>
      <c r="W1572" s="40" t="s">
        <v>545</v>
      </c>
      <c r="X1572" s="3"/>
      <c r="Y1572"/>
    </row>
    <row r="1573" spans="1:27" hidden="1" x14ac:dyDescent="0.25">
      <c r="A1573" s="10">
        <v>417</v>
      </c>
      <c r="B1573" s="1">
        <f>IFERROR(VLOOKUP(ТабПозиции[[#This Row],[orderNum]],ТабЗаказы[#Data],MATCH(B$7,ТабЗаказы[#Headers],0),0),"")</f>
        <v>45656</v>
      </c>
      <c r="C1573" t="str">
        <f>MONTH(ТабПозиции[[#This Row],[date]])&amp;"/"&amp;YEAR(ТабПозиции[[#This Row],[date]])</f>
        <v>12/2024</v>
      </c>
      <c r="D1573" s="1" t="str">
        <f>IFERROR(VLOOKUP(ТабПозиции[[#This Row],[orderNum]],ТабЗаказы[#Data],MATCH(D$7,ТабЗаказы[#Headers],0),0),"")</f>
        <v/>
      </c>
      <c r="E1573" s="1" t="str">
        <f>IFERROR(VLOOKUP(ТабПозиции[[#This Row],[orderNum]],ТабЗаказы[#Data],MATCH(E$7,ТабЗаказы[#Headers],0),0),"")</f>
        <v/>
      </c>
      <c r="F1573" s="58" t="s">
        <v>2104</v>
      </c>
      <c r="G1573" s="40" t="s">
        <v>545</v>
      </c>
      <c r="I1573" s="18">
        <v>45295</v>
      </c>
      <c r="J1573" s="10">
        <v>1</v>
      </c>
      <c r="K1573" s="10">
        <v>826</v>
      </c>
      <c r="L1573">
        <f>ТабПозиции[[#This Row],[discountPrice]]*ТабПозиции[[#This Row],[quantity]]</f>
        <v>826</v>
      </c>
      <c r="M1573" s="10">
        <v>826</v>
      </c>
      <c r="N1573">
        <f t="shared" si="29"/>
        <v>826</v>
      </c>
      <c r="P157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Row],[orderNum]],ТабПозиции[orderSumm])&gt;1500),ABS(N1573*VLOOKUP(ТабПозиции[[#This Row],[orderNum]],ТабЗаказы[#Data],MATCH("Percent",ТабЗаказы[#Headers],0),0))/100,200/COUNTIF(ТабПозиции[orderNum],ТабПозиции[[#This Row],[orderNum]])),0),"")</f>
        <v>124</v>
      </c>
      <c r="Q1573">
        <f>IF(OR(ТабПозиции[[#This Row],[item]]="По штрихкоду",ТабПозиции[[#This Row],[item]]="Посылка"),ТабПозиции[[#This Row],[deliverySumm]]+ТабПозиции[[#This Row],[deliveryPost]],SUM(N1573:P1573))</f>
        <v>950</v>
      </c>
      <c r="R1573" s="41">
        <v>950</v>
      </c>
      <c r="S1573" s="46">
        <f>ТабПозиции[[#This Row],[totalSumm]]-ТабПозиции[[#This Row],[payment]]</f>
        <v>0</v>
      </c>
      <c r="T1573" s="18" t="s">
        <v>970</v>
      </c>
      <c r="U1573" s="40" t="s">
        <v>545</v>
      </c>
      <c r="V1573" s="40" t="str">
        <f>IF(AND(ТабПозиции[[#This Row],[Остаток]]=0,ТабПозиции[[#This Row],[Заказан]]="Да"),"Да","Нет")</f>
        <v>Да</v>
      </c>
      <c r="W1573" s="40" t="str">
        <f>IF(AND(ТабПозиции[[#This Row],[Остаток]]=0,ТабПозиции[[#This Row],[Заказан]]="Да"),"Да","Нет")</f>
        <v>Да</v>
      </c>
      <c r="X1573" s="3"/>
      <c r="Y1573"/>
    </row>
    <row r="1574" spans="1:27" x14ac:dyDescent="0.25">
      <c r="A1574" s="10">
        <v>417</v>
      </c>
      <c r="B1574" s="1">
        <f>IFERROR(VLOOKUP(ТабПозиции[[#This Row],[orderNum]],ТабЗаказы[#Data],MATCH(B$7,ТабЗаказы[#Headers],0),0),"")</f>
        <v>45656</v>
      </c>
      <c r="C1574" t="str">
        <f>MONTH(ТабПозиции[[#This Row],[date]])&amp;"/"&amp;YEAR(ТабПозиции[[#This Row],[date]])</f>
        <v>12/2024</v>
      </c>
      <c r="D1574" s="1" t="str">
        <f>IFERROR(VLOOKUP(ТабПозиции[[#This Row],[orderNum]],ТабЗаказы[#Data],MATCH(D$7,ТабЗаказы[#Headers],0),0),"")</f>
        <v/>
      </c>
      <c r="E1574" s="1" t="str">
        <f>IFERROR(VLOOKUP(ТабПозиции[[#This Row],[orderNum]],ТабЗаказы[#Data],MATCH(E$7,ТабЗаказы[#Headers],0),0),"")</f>
        <v/>
      </c>
      <c r="F1574" s="10" t="s">
        <v>2105</v>
      </c>
      <c r="G1574" s="40" t="s">
        <v>490</v>
      </c>
      <c r="I1574" s="18"/>
      <c r="J1574" s="10">
        <v>1</v>
      </c>
      <c r="K1574" s="10">
        <v>836</v>
      </c>
      <c r="L1574">
        <f>ТабПозиции[[#This Row],[discountPrice]]*ТабПозиции[[#This Row],[quantity]]</f>
        <v>836</v>
      </c>
      <c r="M1574" s="10">
        <v>836</v>
      </c>
      <c r="N1574">
        <f t="shared" si="29"/>
        <v>836</v>
      </c>
      <c r="P157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Row],[orderNum]],ТабПозиции[orderSumm])&gt;1500),ABS(N1574*VLOOKUP(ТабПозиции[[#This Row],[orderNum]],ТабЗаказы[#Data],MATCH("Percent",ТабЗаказы[#Headers],0),0))/100,200/COUNTIF(ТабПозиции[orderNum],ТабПозиции[[#This Row],[orderNum]])),0),"")</f>
        <v>125</v>
      </c>
      <c r="Q1574">
        <f>IF(OR(ТабПозиции[[#This Row],[item]]="По штрихкоду",ТабПозиции[[#This Row],[item]]="Посылка"),ТабПозиции[[#This Row],[deliverySumm]]+ТабПозиции[[#This Row],[deliveryPost]],SUM(N1574:P1574))</f>
        <v>961</v>
      </c>
      <c r="R1574" s="41">
        <v>961</v>
      </c>
      <c r="S1574" s="46">
        <f>ТабПозиции[[#This Row],[totalSumm]]-ТабПозиции[[#This Row],[payment]]</f>
        <v>0</v>
      </c>
      <c r="T1574" s="18" t="s">
        <v>2108</v>
      </c>
      <c r="U1574" s="40" t="s">
        <v>545</v>
      </c>
      <c r="V1574" s="40" t="str">
        <f>IF(AND(ТабПозиции[[#This Row],[Остаток]]=0,ТабПозиции[[#This Row],[Заказан]]="Да"),"Да","Нет")</f>
        <v>Да</v>
      </c>
      <c r="W1574" s="40" t="s">
        <v>490</v>
      </c>
      <c r="X1574" s="3"/>
      <c r="Y1574"/>
    </row>
    <row r="1575" spans="1:27" x14ac:dyDescent="0.25">
      <c r="A1575" s="10">
        <v>417</v>
      </c>
      <c r="B1575" s="1">
        <f>IFERROR(VLOOKUP(ТабПозиции[[#This Row],[orderNum]],ТабЗаказы[#Data],MATCH(B$7,ТабЗаказы[#Headers],0),0),"")</f>
        <v>45656</v>
      </c>
      <c r="C1575" t="str">
        <f>MONTH(ТабПозиции[[#This Row],[date]])&amp;"/"&amp;YEAR(ТабПозиции[[#This Row],[date]])</f>
        <v>12/2024</v>
      </c>
      <c r="D1575" s="1" t="str">
        <f>IFERROR(VLOOKUP(ТабПозиции[[#This Row],[orderNum]],ТабЗаказы[#Data],MATCH(D$7,ТабЗаказы[#Headers],0),0),"")</f>
        <v/>
      </c>
      <c r="E1575" s="1" t="str">
        <f>IFERROR(VLOOKUP(ТабПозиции[[#This Row],[orderNum]],ТабЗаказы[#Data],MATCH(E$7,ТабЗаказы[#Headers],0),0),"")</f>
        <v/>
      </c>
      <c r="F1575" s="10" t="s">
        <v>2106</v>
      </c>
      <c r="G1575" s="40" t="s">
        <v>490</v>
      </c>
      <c r="I1575" s="18"/>
      <c r="J1575" s="10">
        <v>1</v>
      </c>
      <c r="K1575" s="10">
        <v>1188</v>
      </c>
      <c r="L1575">
        <f>ТабПозиции[[#This Row],[discountPrice]]*ТабПозиции[[#This Row],[quantity]]</f>
        <v>1188</v>
      </c>
      <c r="M1575" s="10">
        <v>1188</v>
      </c>
      <c r="N1575">
        <f t="shared" si="29"/>
        <v>1188</v>
      </c>
      <c r="P157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Row],[orderNum]],ТабПозиции[orderSumm])&gt;1500),ABS(N1575*VLOOKUP(ТабПозиции[[#This Row],[orderNum]],ТабЗаказы[#Data],MATCH("Percent",ТабЗаказы[#Headers],0),0))/100,200/COUNTIF(ТабПозиции[orderNum],ТабПозиции[[#This Row],[orderNum]])),0),"")</f>
        <v>178</v>
      </c>
      <c r="Q1575">
        <f>IF(OR(ТабПозиции[[#This Row],[item]]="По штрихкоду",ТабПозиции[[#This Row],[item]]="Посылка"),ТабПозиции[[#This Row],[deliverySumm]]+ТабПозиции[[#This Row],[deliveryPost]],SUM(N1575:P1575))</f>
        <v>1366</v>
      </c>
      <c r="R1575" s="41">
        <v>1366</v>
      </c>
      <c r="S1575" s="46">
        <f>ТабПозиции[[#This Row],[totalSumm]]-ТабПозиции[[#This Row],[payment]]</f>
        <v>0</v>
      </c>
      <c r="T1575" s="18" t="s">
        <v>2108</v>
      </c>
      <c r="U1575" s="40" t="s">
        <v>545</v>
      </c>
      <c r="V1575" s="40" t="str">
        <f>IF(AND(ТабПозиции[[#This Row],[Остаток]]=0,ТабПозиции[[#This Row],[Заказан]]="Да"),"Да","Нет")</f>
        <v>Да</v>
      </c>
      <c r="W1575" s="40" t="s">
        <v>490</v>
      </c>
      <c r="X1575" s="3"/>
      <c r="Y1575"/>
    </row>
    <row r="1576" spans="1:27" x14ac:dyDescent="0.25">
      <c r="A1576" s="10">
        <v>417</v>
      </c>
      <c r="B1576" s="1">
        <f>IFERROR(VLOOKUP(ТабПозиции[[#This Row],[orderNum]],ТабЗаказы[#Data],MATCH(B$7,ТабЗаказы[#Headers],0),0),"")</f>
        <v>45656</v>
      </c>
      <c r="C1576" t="str">
        <f>MONTH(ТабПозиции[[#This Row],[date]])&amp;"/"&amp;YEAR(ТабПозиции[[#This Row],[date]])</f>
        <v>12/2024</v>
      </c>
      <c r="D1576" s="1" t="str">
        <f>IFERROR(VLOOKUP(ТабПозиции[[#This Row],[orderNum]],ТабЗаказы[#Data],MATCH(D$7,ТабЗаказы[#Headers],0),0),"")</f>
        <v/>
      </c>
      <c r="E1576" s="1" t="str">
        <f>IFERROR(VLOOKUP(ТабПозиции[[#This Row],[orderNum]],ТабЗаказы[#Data],MATCH(E$7,ТабЗаказы[#Headers],0),0),"")</f>
        <v/>
      </c>
      <c r="F1576" s="10" t="s">
        <v>2107</v>
      </c>
      <c r="G1576" s="40" t="s">
        <v>490</v>
      </c>
      <c r="I1576" s="18"/>
      <c r="J1576" s="10">
        <v>1</v>
      </c>
      <c r="K1576" s="10">
        <v>792</v>
      </c>
      <c r="L1576">
        <f>ТабПозиции[[#This Row],[discountPrice]]*ТабПозиции[[#This Row],[quantity]]</f>
        <v>792</v>
      </c>
      <c r="M1576" s="10">
        <v>792</v>
      </c>
      <c r="N1576">
        <f t="shared" si="29"/>
        <v>792</v>
      </c>
      <c r="O1576" s="10">
        <v>389</v>
      </c>
      <c r="P157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Row],[orderNum]],ТабПозиции[orderSumm])&gt;1500),ABS(N1576*VLOOKUP(ТабПозиции[[#This Row],[orderNum]],ТабЗаказы[#Data],MATCH("Percent",ТабЗаказы[#Headers],0),0))/100,200/COUNTIF(ТабПозиции[orderNum],ТабПозиции[[#This Row],[orderNum]])),0),"")</f>
        <v>119</v>
      </c>
      <c r="Q1576">
        <f>IF(OR(ТабПозиции[[#This Row],[item]]="По штрихкоду",ТабПозиции[[#This Row],[item]]="Посылка"),ТабПозиции[[#This Row],[deliverySumm]]+ТабПозиции[[#This Row],[deliveryPost]],SUM(N1576:P1576))</f>
        <v>1300</v>
      </c>
      <c r="R1576" s="41">
        <v>1300</v>
      </c>
      <c r="S1576" s="46">
        <f>ТабПозиции[[#This Row],[totalSumm]]-ТабПозиции[[#This Row],[payment]]</f>
        <v>0</v>
      </c>
      <c r="T1576" s="18" t="s">
        <v>2108</v>
      </c>
      <c r="U1576" s="40" t="s">
        <v>545</v>
      </c>
      <c r="V1576" s="40" t="str">
        <f>IF(AND(ТабПозиции[[#This Row],[Остаток]]=0,ТабПозиции[[#This Row],[Заказан]]="Да"),"Да","Нет")</f>
        <v>Да</v>
      </c>
      <c r="W1576" s="40" t="s">
        <v>490</v>
      </c>
      <c r="X1576" s="3"/>
      <c r="Y1576"/>
    </row>
    <row r="1577" spans="1:27" hidden="1" x14ac:dyDescent="0.25">
      <c r="A1577" s="10">
        <v>326</v>
      </c>
      <c r="B1577" s="1">
        <f>IFERROR(VLOOKUP(ТабПозиции[[#This Row],[orderNum]],ТабЗаказы[#Data],MATCH(B$7,ТабЗаказы[#Headers],0),0),"")</f>
        <v>46020</v>
      </c>
      <c r="C1577" t="str">
        <f>MONTH(ТабПозиции[[#This Row],[date]])&amp;"/"&amp;YEAR(ТабПозиции[[#This Row],[date]])</f>
        <v>12/2025</v>
      </c>
      <c r="D1577" s="1" t="str">
        <f>IFERROR(VLOOKUP(ТабПозиции[[#This Row],[orderNum]],ТабЗаказы[#Data],MATCH(D$7,ТабЗаказы[#Headers],0),0),"")</f>
        <v/>
      </c>
      <c r="E1577" s="1" t="str">
        <f>IFERROR(VLOOKUP(ТабПозиции[[#This Row],[orderNum]],ТабЗаказы[#Data],MATCH(E$7,ТабЗаказы[#Headers],0),0),"")</f>
        <v/>
      </c>
      <c r="F1577" s="58" t="s">
        <v>2109</v>
      </c>
      <c r="G1577" s="40" t="s">
        <v>545</v>
      </c>
      <c r="I1577" s="18">
        <v>45660</v>
      </c>
      <c r="J1577" s="10">
        <v>1</v>
      </c>
      <c r="K1577" s="10">
        <v>1133</v>
      </c>
      <c r="L1577">
        <f>ТабПозиции[[#This Row],[discountPrice]]*ТабПозиции[[#This Row],[quantity]]</f>
        <v>1133</v>
      </c>
      <c r="M1577" s="10">
        <v>1177</v>
      </c>
      <c r="N1577">
        <f t="shared" si="29"/>
        <v>1177</v>
      </c>
      <c r="P157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Row],[orderNum]],ТабПозиции[orderSumm])&gt;1500),ABS(N1577*VLOOKUP(ТабПозиции[[#This Row],[orderNum]],ТабЗаказы[#Data],MATCH("Percent",ТабЗаказы[#Headers],0),0))/100,200/COUNTIF(ТабПозиции[orderNum],ТабПозиции[[#This Row],[orderNum]])),0),"")</f>
        <v>177</v>
      </c>
      <c r="Q1577">
        <f>IF(OR(ТабПозиции[[#This Row],[item]]="По штрихкоду",ТабПозиции[[#This Row],[item]]="Посылка"),ТабПозиции[[#This Row],[deliverySumm]]+ТабПозиции[[#This Row],[deliveryPost]],SUM(N1577:P1577))</f>
        <v>1354</v>
      </c>
      <c r="R1577" s="41">
        <v>1354</v>
      </c>
      <c r="S1577" s="46">
        <f>ТабПозиции[[#This Row],[totalSumm]]-ТабПозиции[[#This Row],[payment]]</f>
        <v>0</v>
      </c>
      <c r="T1577" s="18" t="s">
        <v>960</v>
      </c>
      <c r="U1577" s="40" t="s">
        <v>545</v>
      </c>
      <c r="V1577" s="40" t="str">
        <f>IF(AND(ТабПозиции[[#This Row],[Остаток]]=0,ТабПозиции[[#This Row],[Заказан]]="Да"),"Да","Нет")</f>
        <v>Да</v>
      </c>
      <c r="W1577" s="40" t="s">
        <v>545</v>
      </c>
      <c r="X1577" s="3"/>
      <c r="Y1577"/>
    </row>
    <row r="1578" spans="1:27" hidden="1" x14ac:dyDescent="0.25">
      <c r="A1578" s="10">
        <v>326</v>
      </c>
      <c r="B1578" s="1">
        <f>IFERROR(VLOOKUP(ТабПозиции[[#This Row],[orderNum]],ТабЗаказы[#Data],MATCH(B$7,ТабЗаказы[#Headers],0),0),"")</f>
        <v>46020</v>
      </c>
      <c r="C1578" t="str">
        <f>MONTH(ТабПозиции[[#This Row],[date]])&amp;"/"&amp;YEAR(ТабПозиции[[#This Row],[date]])</f>
        <v>12/2025</v>
      </c>
      <c r="D1578" s="1" t="str">
        <f>IFERROR(VLOOKUP(ТабПозиции[[#This Row],[orderNum]],ТабЗаказы[#Data],MATCH(D$7,ТабЗаказы[#Headers],0),0),"")</f>
        <v/>
      </c>
      <c r="E1578" s="1" t="str">
        <f>IFERROR(VLOOKUP(ТабПозиции[[#This Row],[orderNum]],ТабЗаказы[#Data],MATCH(E$7,ТабЗаказы[#Headers],0),0),"")</f>
        <v/>
      </c>
      <c r="F1578" s="58" t="s">
        <v>2110</v>
      </c>
      <c r="G1578" s="40" t="s">
        <v>545</v>
      </c>
      <c r="I1578" s="18">
        <v>45660</v>
      </c>
      <c r="J1578" s="10">
        <v>1</v>
      </c>
      <c r="K1578" s="10">
        <v>546</v>
      </c>
      <c r="L1578">
        <f>ТабПозиции[[#This Row],[discountPrice]]*ТабПозиции[[#This Row],[quantity]]</f>
        <v>546</v>
      </c>
      <c r="M1578" s="10">
        <v>572</v>
      </c>
      <c r="N1578">
        <f t="shared" si="29"/>
        <v>572</v>
      </c>
      <c r="P157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Row],[orderNum]],ТабПозиции[orderSumm])&gt;1500),ABS(N1578*VLOOKUP(ТабПозиции[[#This Row],[orderNum]],ТабЗаказы[#Data],MATCH("Percent",ТабЗаказы[#Headers],0),0))/100,200/COUNTIF(ТабПозиции[orderNum],ТабПозиции[[#This Row],[orderNum]])),0),"")</f>
        <v>86</v>
      </c>
      <c r="Q1578">
        <f>IF(OR(ТабПозиции[[#This Row],[item]]="По штрихкоду",ТабПозиции[[#This Row],[item]]="Посылка"),ТабПозиции[[#This Row],[deliverySumm]]+ТабПозиции[[#This Row],[deliveryPost]],SUM(N1578:P1578))</f>
        <v>658</v>
      </c>
      <c r="R1578" s="41">
        <v>658</v>
      </c>
      <c r="S1578" s="46">
        <f>ТабПозиции[[#This Row],[totalSumm]]-ТабПозиции[[#This Row],[payment]]</f>
        <v>0</v>
      </c>
      <c r="T1578" s="18" t="s">
        <v>960</v>
      </c>
      <c r="U1578" s="40" t="s">
        <v>545</v>
      </c>
      <c r="V1578" s="40" t="str">
        <f>IF(AND(ТабПозиции[[#This Row],[Остаток]]=0,ТабПозиции[[#This Row],[Заказан]]="Да"),"Да","Нет")</f>
        <v>Да</v>
      </c>
      <c r="W1578" s="40" t="s">
        <v>545</v>
      </c>
      <c r="X1578" s="3"/>
      <c r="Y1578"/>
      <c r="Z1578" s="9"/>
      <c r="AA1578" s="9"/>
    </row>
    <row r="1579" spans="1:27" hidden="1" x14ac:dyDescent="0.25">
      <c r="A1579" s="10">
        <v>326</v>
      </c>
      <c r="B1579" s="1">
        <f>IFERROR(VLOOKUP(ТабПозиции[[#This Row],[orderNum]],ТабЗаказы[#Data],MATCH(B$7,ТабЗаказы[#Headers],0),0),"")</f>
        <v>46020</v>
      </c>
      <c r="C1579" t="str">
        <f>MONTH(ТабПозиции[[#This Row],[date]])&amp;"/"&amp;YEAR(ТабПозиции[[#This Row],[date]])</f>
        <v>12/2025</v>
      </c>
      <c r="D1579" s="1" t="str">
        <f>IFERROR(VLOOKUP(ТабПозиции[[#This Row],[orderNum]],ТабЗаказы[#Data],MATCH(D$7,ТабЗаказы[#Headers],0),0),"")</f>
        <v/>
      </c>
      <c r="E1579" s="1" t="str">
        <f>IFERROR(VLOOKUP(ТабПозиции[[#This Row],[orderNum]],ТабЗаказы[#Data],MATCH(E$7,ТабЗаказы[#Headers],0),0),"")</f>
        <v/>
      </c>
      <c r="F1579" s="58" t="s">
        <v>2111</v>
      </c>
      <c r="G1579" s="40" t="s">
        <v>545</v>
      </c>
      <c r="I1579" s="18">
        <v>45660</v>
      </c>
      <c r="J1579" s="10">
        <v>1</v>
      </c>
      <c r="K1579" s="10">
        <v>535</v>
      </c>
      <c r="L1579">
        <f>ТабПозиции[[#This Row],[discountPrice]]*ТабПозиции[[#This Row],[quantity]]</f>
        <v>535</v>
      </c>
      <c r="M1579" s="10">
        <v>609</v>
      </c>
      <c r="N1579">
        <f t="shared" si="29"/>
        <v>609</v>
      </c>
      <c r="P157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Row],[orderNum]],ТабПозиции[orderSumm])&gt;1500),ABS(N1579*VLOOKUP(ТабПозиции[[#This Row],[orderNum]],ТабЗаказы[#Data],MATCH("Percent",ТабЗаказы[#Headers],0),0))/100,200/COUNTIF(ТабПозиции[orderNum],ТабПозиции[[#This Row],[orderNum]])),0),"")</f>
        <v>91</v>
      </c>
      <c r="Q1579">
        <f>IF(OR(ТабПозиции[[#This Row],[item]]="По штрихкоду",ТабПозиции[[#This Row],[item]]="Посылка"),ТабПозиции[[#This Row],[deliverySumm]]+ТабПозиции[[#This Row],[deliveryPost]],SUM(N1579:P1579))</f>
        <v>700</v>
      </c>
      <c r="R1579" s="41">
        <v>700</v>
      </c>
      <c r="S1579" s="46">
        <f>ТабПозиции[[#This Row],[totalSumm]]-ТабПозиции[[#This Row],[payment]]</f>
        <v>0</v>
      </c>
      <c r="T1579" s="18" t="s">
        <v>960</v>
      </c>
      <c r="U1579" s="40" t="s">
        <v>545</v>
      </c>
      <c r="V1579" s="40" t="str">
        <f>IF(AND(ТабПозиции[[#This Row],[Остаток]]=0,ТабПозиции[[#This Row],[Заказан]]="Да"),"Да","Нет")</f>
        <v>Да</v>
      </c>
      <c r="W1579" s="40" t="s">
        <v>545</v>
      </c>
      <c r="X1579" s="3"/>
      <c r="Y1579"/>
      <c r="Z1579" s="9"/>
      <c r="AA1579" s="9"/>
    </row>
    <row r="1580" spans="1:27" hidden="1" x14ac:dyDescent="0.25">
      <c r="A1580" s="10">
        <v>418</v>
      </c>
      <c r="B1580" s="1">
        <f>IFERROR(VLOOKUP(ТабПозиции[[#This Row],[orderNum]],ТабЗаказы[#Data],MATCH(B$7,ТабЗаказы[#Headers],0),0),"")</f>
        <v>45661</v>
      </c>
      <c r="C1580" t="str">
        <f>MONTH(ТабПозиции[[#This Row],[date]])&amp;"/"&amp;YEAR(ТабПозиции[[#This Row],[date]])</f>
        <v>1/2025</v>
      </c>
      <c r="D1580" s="1" t="str">
        <f>IFERROR(VLOOKUP(ТабПозиции[[#This Row],[orderNum]],ТабЗаказы[#Data],MATCH(D$7,ТабЗаказы[#Headers],0),0),"")</f>
        <v/>
      </c>
      <c r="E1580" s="1" t="str">
        <f>IFERROR(VLOOKUP(ТабПозиции[[#This Row],[orderNum]],ТабЗаказы[#Data],MATCH(E$7,ТабЗаказы[#Headers],0),0),"")</f>
        <v/>
      </c>
      <c r="F1580" s="58" t="s">
        <v>1805</v>
      </c>
      <c r="G1580" s="40" t="s">
        <v>545</v>
      </c>
      <c r="I1580" s="18">
        <v>45662</v>
      </c>
      <c r="J1580" s="10">
        <v>1</v>
      </c>
      <c r="K1580" s="10">
        <v>860</v>
      </c>
      <c r="L1580">
        <f>ТабПозиции[[#This Row],[discountPrice]]*ТабПозиции[[#This Row],[quantity]]</f>
        <v>860</v>
      </c>
      <c r="M1580" s="10">
        <v>923</v>
      </c>
      <c r="N1580">
        <f t="shared" si="29"/>
        <v>923</v>
      </c>
      <c r="P158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Row],[orderNum]],ТабПозиции[orderSumm])&gt;1500),ABS(N1580*VLOOKUP(ТабПозиции[[#This Row],[orderNum]],ТабЗаказы[#Data],MATCH("Percent",ТабЗаказы[#Headers],0),0))/100,200/COUNTIF(ТабПозиции[orderNum],ТабПозиции[[#This Row],[orderNum]])),0),"")</f>
        <v>138</v>
      </c>
      <c r="Q1580">
        <f>IF(OR(ТабПозиции[[#This Row],[item]]="По штрихкоду",ТабПозиции[[#This Row],[item]]="Посылка"),ТабПозиции[[#This Row],[deliverySumm]]+ТабПозиции[[#This Row],[deliveryPost]],SUM(N1580:P1580))</f>
        <v>1061</v>
      </c>
      <c r="R1580" s="41">
        <v>1061</v>
      </c>
      <c r="S1580" s="46">
        <f>ТабПозиции[[#This Row],[totalSumm]]-ТабПозиции[[#This Row],[payment]]</f>
        <v>0</v>
      </c>
      <c r="T1580" s="18" t="s">
        <v>960</v>
      </c>
      <c r="U1580" s="40" t="s">
        <v>545</v>
      </c>
      <c r="V1580" s="40" t="str">
        <f>IF(AND(ТабПозиции[[#This Row],[Остаток]]=0,ТабПозиции[[#This Row],[Заказан]]="Да"),"Да","Нет")</f>
        <v>Да</v>
      </c>
      <c r="W1580" s="40" t="str">
        <f>IF(AND(ТабПозиции[[#This Row],[Остаток]]=0,ТабПозиции[[#This Row],[Заказан]]="Да"),"Да","Нет")</f>
        <v>Да</v>
      </c>
      <c r="X1580" s="3"/>
      <c r="Y1580"/>
      <c r="Z1580" s="9"/>
      <c r="AA1580" s="9"/>
    </row>
    <row r="1581" spans="1:27" hidden="1" x14ac:dyDescent="0.25">
      <c r="A1581" s="10">
        <v>418</v>
      </c>
      <c r="B1581" s="1">
        <f>IFERROR(VLOOKUP(ТабПозиции[[#This Row],[orderNum]],ТабЗаказы[#Data],MATCH(B$7,ТабЗаказы[#Headers],0),0),"")</f>
        <v>45661</v>
      </c>
      <c r="C1581" t="str">
        <f>MONTH(ТабПозиции[[#This Row],[date]])&amp;"/"&amp;YEAR(ТабПозиции[[#This Row],[date]])</f>
        <v>1/2025</v>
      </c>
      <c r="D1581" s="1" t="str">
        <f>IFERROR(VLOOKUP(ТабПозиции[[#This Row],[orderNum]],ТабЗаказы[#Data],MATCH(D$7,ТабЗаказы[#Headers],0),0),"")</f>
        <v/>
      </c>
      <c r="E1581" s="1" t="str">
        <f>IFERROR(VLOOKUP(ТабПозиции[[#This Row],[orderNum]],ТабЗаказы[#Data],MATCH(E$7,ТабЗаказы[#Headers],0),0),"")</f>
        <v/>
      </c>
      <c r="F1581" s="58" t="s">
        <v>2113</v>
      </c>
      <c r="G1581" s="40" t="s">
        <v>545</v>
      </c>
      <c r="I1581" s="18">
        <v>45663</v>
      </c>
      <c r="J1581" s="10">
        <v>1</v>
      </c>
      <c r="K1581" s="10">
        <v>1627</v>
      </c>
      <c r="L1581">
        <f>ТабПозиции[[#This Row],[discountPrice]]*ТабПозиции[[#This Row],[quantity]]</f>
        <v>1627</v>
      </c>
      <c r="M1581" s="10">
        <v>1730</v>
      </c>
      <c r="N1581">
        <f t="shared" si="29"/>
        <v>1730</v>
      </c>
      <c r="P158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Row],[orderNum]],ТабПозиции[orderSumm])&gt;1500),ABS(N1581*VLOOKUP(ТабПозиции[[#This Row],[orderNum]],ТабЗаказы[#Data],MATCH("Percent",ТабЗаказы[#Headers],0),0))/100,200/COUNTIF(ТабПозиции[orderNum],ТабПозиции[[#This Row],[orderNum]])),0),"")</f>
        <v>260</v>
      </c>
      <c r="Q1581">
        <f>IF(OR(ТабПозиции[[#This Row],[item]]="По штрихкоду",ТабПозиции[[#This Row],[item]]="Посылка"),ТабПозиции[[#This Row],[deliverySumm]]+ТабПозиции[[#This Row],[deliveryPost]],SUM(N1581:P1581))</f>
        <v>1990</v>
      </c>
      <c r="R1581" s="41">
        <v>1990</v>
      </c>
      <c r="S1581" s="46">
        <f>ТабПозиции[[#This Row],[totalSumm]]-ТабПозиции[[#This Row],[payment]]</f>
        <v>0</v>
      </c>
      <c r="T1581" s="18" t="s">
        <v>960</v>
      </c>
      <c r="U1581" s="40" t="s">
        <v>545</v>
      </c>
      <c r="V1581" s="40" t="str">
        <f>IF(AND(ТабПозиции[[#This Row],[Остаток]]=0,ТабПозиции[[#This Row],[Заказан]]="Да"),"Да","Нет")</f>
        <v>Да</v>
      </c>
      <c r="W1581" s="40" t="str">
        <f>IF(AND(ТабПозиции[[#This Row],[Остаток]]=0,ТабПозиции[[#This Row],[Заказан]]="Да"),"Да","Нет")</f>
        <v>Да</v>
      </c>
      <c r="X1581" s="3"/>
      <c r="Y1581"/>
    </row>
    <row r="1582" spans="1:27" hidden="1" x14ac:dyDescent="0.25">
      <c r="A1582" s="10">
        <v>418</v>
      </c>
      <c r="B1582" s="1">
        <f>IFERROR(VLOOKUP(ТабПозиции[[#This Row],[orderNum]],ТабЗаказы[#Data],MATCH(B$7,ТабЗаказы[#Headers],0),0),"")</f>
        <v>45661</v>
      </c>
      <c r="C1582" t="str">
        <f>MONTH(ТабПозиции[[#This Row],[date]])&amp;"/"&amp;YEAR(ТабПозиции[[#This Row],[date]])</f>
        <v>1/2025</v>
      </c>
      <c r="D1582" s="1" t="str">
        <f>IFERROR(VLOOKUP(ТабПозиции[[#This Row],[orderNum]],ТабЗаказы[#Data],MATCH(D$7,ТабЗаказы[#Headers],0),0),"")</f>
        <v/>
      </c>
      <c r="E1582" s="1" t="str">
        <f>IFERROR(VLOOKUP(ТабПозиции[[#This Row],[orderNum]],ТабЗаказы[#Data],MATCH(E$7,ТабЗаказы[#Headers],0),0),"")</f>
        <v/>
      </c>
      <c r="F1582" s="58" t="s">
        <v>2136</v>
      </c>
      <c r="G1582" s="40" t="s">
        <v>545</v>
      </c>
      <c r="I1582" s="18">
        <v>45664</v>
      </c>
      <c r="J1582" s="10">
        <v>1</v>
      </c>
      <c r="K1582" s="10">
        <v>1943</v>
      </c>
      <c r="L1582">
        <f>ТабПозиции[[#This Row],[discountPrice]]*ТабПозиции[[#This Row],[quantity]]</f>
        <v>1943</v>
      </c>
      <c r="M1582" s="10">
        <v>2089</v>
      </c>
      <c r="N1582">
        <f t="shared" si="29"/>
        <v>2089</v>
      </c>
      <c r="P158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Row],[orderNum]],ТабПозиции[orderSumm])&gt;1500),ABS(N1582*VLOOKUP(ТабПозиции[[#This Row],[orderNum]],ТабЗаказы[#Data],MATCH("Percent",ТабЗаказы[#Headers],0),0))/100,200/COUNTIF(ТабПозиции[orderNum],ТабПозиции[[#This Row],[orderNum]])),0),"")</f>
        <v>313</v>
      </c>
      <c r="Q1582">
        <f>IF(OR(ТабПозиции[[#This Row],[item]]="По штрихкоду",ТабПозиции[[#This Row],[item]]="Посылка"),ТабПозиции[[#This Row],[deliverySumm]]+ТабПозиции[[#This Row],[deliveryPost]],SUM(N1582:P1582))</f>
        <v>2402</v>
      </c>
      <c r="R1582" s="41">
        <v>2402</v>
      </c>
      <c r="S1582" s="46">
        <f>ТабПозиции[[#This Row],[totalSumm]]-ТабПозиции[[#This Row],[payment]]</f>
        <v>0</v>
      </c>
      <c r="T1582" s="18" t="s">
        <v>960</v>
      </c>
      <c r="U1582" s="40" t="s">
        <v>545</v>
      </c>
      <c r="V1582" s="40" t="str">
        <f>IF(AND(ТабПозиции[[#This Row],[Остаток]]=0,ТабПозиции[[#This Row],[Заказан]]="Да"),"Да","Нет")</f>
        <v>Да</v>
      </c>
      <c r="W1582" s="40" t="str">
        <f>IF(AND(ТабПозиции[[#This Row],[Остаток]]=0,ТабПозиции[[#This Row],[Заказан]]="Да"),"Да","Нет")</f>
        <v>Да</v>
      </c>
      <c r="X1582" s="3"/>
      <c r="Y1582"/>
    </row>
    <row r="1583" spans="1:27" hidden="1" x14ac:dyDescent="0.25">
      <c r="A1583" s="10">
        <v>418</v>
      </c>
      <c r="B1583" s="1">
        <f>IFERROR(VLOOKUP(ТабПозиции[[#This Row],[orderNum]],ТабЗаказы[#Data],MATCH(B$7,ТабЗаказы[#Headers],0),0),"")</f>
        <v>45661</v>
      </c>
      <c r="C1583" t="str">
        <f>MONTH(ТабПозиции[[#This Row],[date]])&amp;"/"&amp;YEAR(ТабПозиции[[#This Row],[date]])</f>
        <v>1/2025</v>
      </c>
      <c r="D1583" s="1" t="str">
        <f>IFERROR(VLOOKUP(ТабПозиции[[#This Row],[orderNum]],ТабЗаказы[#Data],MATCH(D$7,ТабЗаказы[#Headers],0),0),"")</f>
        <v/>
      </c>
      <c r="E1583" s="1" t="str">
        <f>IFERROR(VLOOKUP(ТабПозиции[[#This Row],[orderNum]],ТабЗаказы[#Data],MATCH(E$7,ТабЗаказы[#Headers],0),0),"")</f>
        <v/>
      </c>
      <c r="F1583" s="58" t="s">
        <v>2114</v>
      </c>
      <c r="G1583" s="40" t="s">
        <v>490</v>
      </c>
      <c r="I1583" s="18">
        <v>45675</v>
      </c>
      <c r="J1583" s="10">
        <v>0</v>
      </c>
      <c r="K1583" s="10">
        <v>2000</v>
      </c>
      <c r="L1583">
        <f>ТабПозиции[[#This Row],[discountPrice]]*ТабПозиции[[#This Row],[quantity]]</f>
        <v>0</v>
      </c>
      <c r="M1583" s="10">
        <v>2000</v>
      </c>
      <c r="N1583">
        <f t="shared" si="29"/>
        <v>0</v>
      </c>
      <c r="P158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Row],[orderNum]],ТабПозиции[orderSumm])&gt;1500),ABS(N1583*VLOOKUP(ТабПозиции[[#This Row],[orderNum]],ТабЗаказы[#Data],MATCH("Percent",ТабЗаказы[#Headers],0),0))/100,200/COUNTIF(ТабПозиции[orderNum],ТабПозиции[[#This Row],[orderNum]])),0),"")</f>
        <v>0</v>
      </c>
      <c r="Q1583">
        <f>IF(OR(ТабПозиции[[#This Row],[item]]="По штрихкоду",ТабПозиции[[#This Row],[item]]="Посылка"),ТабПозиции[[#This Row],[deliverySumm]]+ТабПозиции[[#This Row],[deliveryPost]],SUM(N1583:P1583))</f>
        <v>0</v>
      </c>
      <c r="R1583" s="41">
        <v>0</v>
      </c>
      <c r="S1583" s="46">
        <f>ТабПозиции[[#This Row],[totalSumm]]-ТабПозиции[[#This Row],[payment]]</f>
        <v>0</v>
      </c>
      <c r="T1583" s="18" t="s">
        <v>1016</v>
      </c>
      <c r="U1583" s="40" t="s">
        <v>545</v>
      </c>
      <c r="V1583" s="40" t="str">
        <f>IF(AND(ТабПозиции[[#This Row],[Остаток]]=0,ТабПозиции[[#This Row],[Заказан]]="Да"),"Да","Нет")</f>
        <v>Да</v>
      </c>
      <c r="W1583" s="40" t="s">
        <v>545</v>
      </c>
      <c r="X1583" s="3"/>
      <c r="Y1583"/>
    </row>
    <row r="1584" spans="1:27" hidden="1" x14ac:dyDescent="0.25">
      <c r="A1584" s="10">
        <v>419</v>
      </c>
      <c r="B1584" s="1">
        <f>IFERROR(VLOOKUP(ТабПозиции[[#This Row],[orderNum]],ТабЗаказы[#Data],MATCH(B$7,ТабЗаказы[#Headers],0),0),"")</f>
        <v>45661</v>
      </c>
      <c r="C1584" t="str">
        <f>MONTH(ТабПозиции[[#This Row],[date]])&amp;"/"&amp;YEAR(ТабПозиции[[#This Row],[date]])</f>
        <v>1/2025</v>
      </c>
      <c r="D1584" s="1" t="str">
        <f>IFERROR(VLOOKUP(ТабПозиции[[#This Row],[orderNum]],ТабЗаказы[#Data],MATCH(D$7,ТабЗаказы[#Headers],0),0),"")</f>
        <v/>
      </c>
      <c r="E1584" s="1" t="str">
        <f>IFERROR(VLOOKUP(ТабПозиции[[#This Row],[orderNum]],ТабЗаказы[#Data],MATCH(E$7,ТабЗаказы[#Headers],0),0),"")</f>
        <v/>
      </c>
      <c r="F1584" s="58" t="s">
        <v>2115</v>
      </c>
      <c r="G1584" s="40" t="s">
        <v>545</v>
      </c>
      <c r="I1584" s="18">
        <v>45663</v>
      </c>
      <c r="J1584" s="10">
        <v>1</v>
      </c>
      <c r="K1584" s="10">
        <v>195</v>
      </c>
      <c r="L1584">
        <f>ТабПозиции[[#This Row],[discountPrice]]*ТабПозиции[[#This Row],[quantity]]</f>
        <v>195</v>
      </c>
      <c r="M1584" s="10">
        <v>206</v>
      </c>
      <c r="N1584">
        <f t="shared" si="29"/>
        <v>206</v>
      </c>
      <c r="P158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Row],[orderNum]],ТабПозиции[orderSumm])&gt;1500),ABS(N1584*VLOOKUP(ТабПозиции[[#This Row],[orderNum]],ТабЗаказы[#Data],MATCH("Percent",ТабЗаказы[#Headers],0),0))/100,200/COUNTIF(ТабПозиции[orderNum],ТабПозиции[[#This Row],[orderNum]])),0),"")</f>
        <v>21</v>
      </c>
      <c r="Q1584">
        <f>IF(OR(ТабПозиции[[#This Row],[item]]="По штрихкоду",ТабПозиции[[#This Row],[item]]="Посылка"),ТабПозиции[[#This Row],[deliverySumm]]+ТабПозиции[[#This Row],[deliveryPost]],SUM(N1584:P1584))</f>
        <v>227</v>
      </c>
      <c r="R1584" s="41">
        <v>227</v>
      </c>
      <c r="S1584" s="46">
        <f>ТабПозиции[[#This Row],[totalSumm]]-ТабПозиции[[#This Row],[payment]]</f>
        <v>0</v>
      </c>
      <c r="T1584" s="18" t="s">
        <v>970</v>
      </c>
      <c r="U1584" s="40" t="s">
        <v>545</v>
      </c>
      <c r="V1584" s="40" t="str">
        <f>IF(AND(ТабПозиции[[#This Row],[Остаток]]=0,ТабПозиции[[#This Row],[Заказан]]="Да"),"Да","Нет")</f>
        <v>Да</v>
      </c>
      <c r="W1584" s="40" t="str">
        <f>IF(AND(ТабПозиции[[#This Row],[Остаток]]=0,ТабПозиции[[#This Row],[Заказан]]="Да"),"Да","Нет")</f>
        <v>Да</v>
      </c>
      <c r="X1584" s="3"/>
      <c r="Y1584"/>
    </row>
    <row r="1585" spans="1:25" hidden="1" x14ac:dyDescent="0.25">
      <c r="A1585" s="10">
        <v>419</v>
      </c>
      <c r="B1585" s="1">
        <f>IFERROR(VLOOKUP(ТабПозиции[[#This Row],[orderNum]],ТабЗаказы[#Data],MATCH(B$7,ТабЗаказы[#Headers],0),0),"")</f>
        <v>45661</v>
      </c>
      <c r="C1585" t="str">
        <f>MONTH(ТабПозиции[[#This Row],[date]])&amp;"/"&amp;YEAR(ТабПозиции[[#This Row],[date]])</f>
        <v>1/2025</v>
      </c>
      <c r="D1585" s="1" t="str">
        <f>IFERROR(VLOOKUP(ТабПозиции[[#This Row],[orderNum]],ТабЗаказы[#Data],MATCH(D$7,ТабЗаказы[#Headers],0),0),"")</f>
        <v/>
      </c>
      <c r="E1585" s="1" t="str">
        <f>IFERROR(VLOOKUP(ТабПозиции[[#This Row],[orderNum]],ТабЗаказы[#Data],MATCH(E$7,ТабЗаказы[#Headers],0),0),"")</f>
        <v/>
      </c>
      <c r="F1585" s="58" t="s">
        <v>2131</v>
      </c>
      <c r="G1585" s="40" t="s">
        <v>545</v>
      </c>
      <c r="I1585" s="18">
        <v>45663</v>
      </c>
      <c r="J1585" s="10">
        <v>1</v>
      </c>
      <c r="K1585" s="10">
        <v>2695</v>
      </c>
      <c r="L1585">
        <f>ТабПозиции[[#This Row],[discountPrice]]*ТабПозиции[[#This Row],[quantity]]</f>
        <v>2695</v>
      </c>
      <c r="M1585" s="10">
        <v>2837</v>
      </c>
      <c r="N1585">
        <f t="shared" si="29"/>
        <v>2837</v>
      </c>
      <c r="P158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Row],[orderNum]],ТабПозиции[orderSumm])&gt;1500),ABS(N1585*VLOOKUP(ТабПозиции[[#This Row],[orderNum]],ТабЗаказы[#Data],MATCH("Percent",ТабЗаказы[#Headers],0),0))/100,200/COUNTIF(ТабПозиции[orderNum],ТабПозиции[[#This Row],[orderNum]])),0),"")</f>
        <v>284</v>
      </c>
      <c r="Q1585">
        <f>IF(OR(ТабПозиции[[#This Row],[item]]="По штрихкоду",ТабПозиции[[#This Row],[item]]="Посылка"),ТабПозиции[[#This Row],[deliverySumm]]+ТабПозиции[[#This Row],[deliveryPost]],SUM(N1585:P1585))</f>
        <v>3121</v>
      </c>
      <c r="R1585" s="41">
        <v>3121</v>
      </c>
      <c r="S1585" s="46">
        <f>ТабПозиции[[#This Row],[totalSumm]]-ТабПозиции[[#This Row],[payment]]</f>
        <v>0</v>
      </c>
      <c r="T1585" s="18" t="s">
        <v>970</v>
      </c>
      <c r="U1585" s="40" t="s">
        <v>545</v>
      </c>
      <c r="V1585" s="40" t="str">
        <f>IF(AND(ТабПозиции[[#This Row],[Остаток]]=0,ТабПозиции[[#This Row],[Заказан]]="Да"),"Да","Нет")</f>
        <v>Да</v>
      </c>
      <c r="W1585" s="40" t="str">
        <f>IF(AND(ТабПозиции[[#This Row],[Остаток]]=0,ТабПозиции[[#This Row],[Заказан]]="Да"),"Да","Нет")</f>
        <v>Да</v>
      </c>
      <c r="X1585" s="3"/>
      <c r="Y1585"/>
    </row>
    <row r="1586" spans="1:25" hidden="1" x14ac:dyDescent="0.25">
      <c r="A1586" s="10">
        <v>419</v>
      </c>
      <c r="B1586" s="1">
        <f>IFERROR(VLOOKUP(ТабПозиции[[#This Row],[orderNum]],ТабЗаказы[#Data],MATCH(B$7,ТабЗаказы[#Headers],0),0),"")</f>
        <v>45661</v>
      </c>
      <c r="C1586" t="str">
        <f>MONTH(ТабПозиции[[#This Row],[date]])&amp;"/"&amp;YEAR(ТабПозиции[[#This Row],[date]])</f>
        <v>1/2025</v>
      </c>
      <c r="D1586" s="1" t="str">
        <f>IFERROR(VLOOKUP(ТабПозиции[[#This Row],[orderNum]],ТабЗаказы[#Data],MATCH(D$7,ТабЗаказы[#Headers],0),0),"")</f>
        <v/>
      </c>
      <c r="E1586" s="1" t="str">
        <f>IFERROR(VLOOKUP(ТабПозиции[[#This Row],[orderNum]],ТабЗаказы[#Data],MATCH(E$7,ТабЗаказы[#Headers],0),0),"")</f>
        <v/>
      </c>
      <c r="F1586" s="58" t="s">
        <v>1649</v>
      </c>
      <c r="G1586" s="40" t="s">
        <v>545</v>
      </c>
      <c r="I1586" s="18">
        <v>45664</v>
      </c>
      <c r="J1586" s="10">
        <v>1</v>
      </c>
      <c r="K1586" s="10">
        <v>677</v>
      </c>
      <c r="L1586">
        <f>ТабПозиции[[#This Row],[discountPrice]]*ТабПозиции[[#This Row],[quantity]]</f>
        <v>677</v>
      </c>
      <c r="M1586" s="10">
        <v>713</v>
      </c>
      <c r="N1586">
        <f t="shared" si="29"/>
        <v>713</v>
      </c>
      <c r="P158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Row],[orderNum]],ТабПозиции[orderSumm])&gt;1500),ABS(N1586*VLOOKUP(ТабПозиции[[#This Row],[orderNum]],ТабЗаказы[#Data],MATCH("Percent",ТабЗаказы[#Headers],0),0))/100,200/COUNTIF(ТабПозиции[orderNum],ТабПозиции[[#This Row],[orderNum]])),0),"")</f>
        <v>71</v>
      </c>
      <c r="Q1586">
        <f>IF(OR(ТабПозиции[[#This Row],[item]]="По штрихкоду",ТабПозиции[[#This Row],[item]]="Посылка"),ТабПозиции[[#This Row],[deliverySumm]]+ТабПозиции[[#This Row],[deliveryPost]],SUM(N1586:P1586))</f>
        <v>784</v>
      </c>
      <c r="R1586" s="41">
        <v>784</v>
      </c>
      <c r="S1586" s="46">
        <f>ТабПозиции[[#This Row],[totalSumm]]-ТабПозиции[[#This Row],[payment]]</f>
        <v>0</v>
      </c>
      <c r="T1586" s="18" t="s">
        <v>970</v>
      </c>
      <c r="U1586" s="40" t="s">
        <v>545</v>
      </c>
      <c r="V1586" s="40" t="str">
        <f>IF(AND(ТабПозиции[[#This Row],[Остаток]]=0,ТабПозиции[[#This Row],[Заказан]]="Да"),"Да","Нет")</f>
        <v>Да</v>
      </c>
      <c r="W1586" s="40" t="str">
        <f>IF(AND(ТабПозиции[[#This Row],[Остаток]]=0,ТабПозиции[[#This Row],[Заказан]]="Да"),"Да","Нет")</f>
        <v>Да</v>
      </c>
      <c r="X1586" s="3"/>
      <c r="Y1586"/>
    </row>
    <row r="1587" spans="1:25" hidden="1" x14ac:dyDescent="0.25">
      <c r="A1587" s="10">
        <v>419</v>
      </c>
      <c r="B1587" s="1">
        <f>IFERROR(VLOOKUP(ТабПозиции[[#This Row],[orderNum]],ТабЗаказы[#Data],MATCH(B$7,ТабЗаказы[#Headers],0),0),"")</f>
        <v>45661</v>
      </c>
      <c r="C1587" t="str">
        <f>MONTH(ТабПозиции[[#This Row],[date]])&amp;"/"&amp;YEAR(ТабПозиции[[#This Row],[date]])</f>
        <v>1/2025</v>
      </c>
      <c r="D1587" s="1" t="str">
        <f>IFERROR(VLOOKUP(ТабПозиции[[#This Row],[orderNum]],ТабЗаказы[#Data],MATCH(D$7,ТабЗаказы[#Headers],0),0),"")</f>
        <v/>
      </c>
      <c r="E1587" s="1" t="str">
        <f>IFERROR(VLOOKUP(ТабПозиции[[#This Row],[orderNum]],ТабЗаказы[#Data],MATCH(E$7,ТабЗаказы[#Headers],0),0),"")</f>
        <v/>
      </c>
      <c r="F1587" s="58" t="s">
        <v>2116</v>
      </c>
      <c r="G1587" s="40" t="s">
        <v>545</v>
      </c>
      <c r="I1587" s="18">
        <v>45663</v>
      </c>
      <c r="J1587" s="10">
        <v>1</v>
      </c>
      <c r="K1587" s="10">
        <v>1406</v>
      </c>
      <c r="L1587">
        <f>ТабПозиции[[#This Row],[discountPrice]]*ТабПозиции[[#This Row],[quantity]]</f>
        <v>1406</v>
      </c>
      <c r="M1587" s="10">
        <v>1481</v>
      </c>
      <c r="N1587">
        <f t="shared" si="29"/>
        <v>1481</v>
      </c>
      <c r="P158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Row],[orderNum]],ТабПозиции[orderSumm])&gt;1500),ABS(N1587*VLOOKUP(ТабПозиции[[#This Row],[orderNum]],ТабЗаказы[#Data],MATCH("Percent",ТабЗаказы[#Headers],0),0))/100,200/COUNTIF(ТабПозиции[orderNum],ТабПозиции[[#This Row],[orderNum]])),0),"")</f>
        <v>148</v>
      </c>
      <c r="Q1587">
        <f>IF(OR(ТабПозиции[[#This Row],[item]]="По штрихкоду",ТабПозиции[[#This Row],[item]]="Посылка"),ТабПозиции[[#This Row],[deliverySumm]]+ТабПозиции[[#This Row],[deliveryPost]],SUM(N1587:P1587))</f>
        <v>1629</v>
      </c>
      <c r="R1587" s="41">
        <v>1629</v>
      </c>
      <c r="S1587" s="46">
        <f>ТабПозиции[[#This Row],[totalSumm]]-ТабПозиции[[#This Row],[payment]]</f>
        <v>0</v>
      </c>
      <c r="T1587" s="18" t="s">
        <v>970</v>
      </c>
      <c r="U1587" s="40" t="s">
        <v>545</v>
      </c>
      <c r="V1587" s="40" t="str">
        <f>IF(AND(ТабПозиции[[#This Row],[Остаток]]=0,ТабПозиции[[#This Row],[Заказан]]="Да"),"Да","Нет")</f>
        <v>Да</v>
      </c>
      <c r="W1587" s="40" t="str">
        <f>IF(AND(ТабПозиции[[#This Row],[Остаток]]=0,ТабПозиции[[#This Row],[Заказан]]="Да"),"Да","Нет")</f>
        <v>Да</v>
      </c>
      <c r="X1587" s="3"/>
      <c r="Y1587"/>
    </row>
    <row r="1588" spans="1:25" hidden="1" x14ac:dyDescent="0.25">
      <c r="A1588" s="10">
        <v>419</v>
      </c>
      <c r="B1588" s="1">
        <f>IFERROR(VLOOKUP(ТабПозиции[[#This Row],[orderNum]],ТабЗаказы[#Data],MATCH(B$7,ТабЗаказы[#Headers],0),0),"")</f>
        <v>45661</v>
      </c>
      <c r="C1588" t="str">
        <f>MONTH(ТабПозиции[[#This Row],[date]])&amp;"/"&amp;YEAR(ТабПозиции[[#This Row],[date]])</f>
        <v>1/2025</v>
      </c>
      <c r="D1588" s="1" t="str">
        <f>IFERROR(VLOOKUP(ТабПозиции[[#This Row],[orderNum]],ТабЗаказы[#Data],MATCH(D$7,ТабЗаказы[#Headers],0),0),"")</f>
        <v/>
      </c>
      <c r="E1588" s="1" t="str">
        <f>IFERROR(VLOOKUP(ТабПозиции[[#This Row],[orderNum]],ТабЗаказы[#Data],MATCH(E$7,ТабЗаказы[#Headers],0),0),"")</f>
        <v/>
      </c>
      <c r="F1588" s="58" t="s">
        <v>2117</v>
      </c>
      <c r="G1588" s="40" t="s">
        <v>545</v>
      </c>
      <c r="I1588" s="18">
        <v>45664</v>
      </c>
      <c r="J1588" s="10">
        <v>1</v>
      </c>
      <c r="K1588" s="10">
        <v>285</v>
      </c>
      <c r="L1588">
        <f>ТабПозиции[[#This Row],[discountPrice]]*ТабПозиции[[#This Row],[quantity]]</f>
        <v>285</v>
      </c>
      <c r="M1588" s="10">
        <v>301</v>
      </c>
      <c r="N1588">
        <f t="shared" si="29"/>
        <v>301</v>
      </c>
      <c r="P158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Row],[orderNum]],ТабПозиции[orderSumm])&gt;1500),ABS(N1588*VLOOKUP(ТабПозиции[[#This Row],[orderNum]],ТабЗаказы[#Data],MATCH("Percent",ТабЗаказы[#Headers],0),0))/100,200/COUNTIF(ТабПозиции[orderNum],ТабПозиции[[#This Row],[orderNum]])),0),"")</f>
        <v>30</v>
      </c>
      <c r="Q1588">
        <f>IF(OR(ТабПозиции[[#This Row],[item]]="По штрихкоду",ТабПозиции[[#This Row],[item]]="Посылка"),ТабПозиции[[#This Row],[deliverySumm]]+ТабПозиции[[#This Row],[deliveryPost]],SUM(N1588:P1588))</f>
        <v>331</v>
      </c>
      <c r="R1588" s="41">
        <v>331</v>
      </c>
      <c r="S1588" s="46">
        <f>ТабПозиции[[#This Row],[totalSumm]]-ТабПозиции[[#This Row],[payment]]</f>
        <v>0</v>
      </c>
      <c r="T1588" s="18" t="s">
        <v>970</v>
      </c>
      <c r="U1588" s="40" t="s">
        <v>545</v>
      </c>
      <c r="V1588" s="40" t="str">
        <f>IF(AND(ТабПозиции[[#This Row],[Остаток]]=0,ТабПозиции[[#This Row],[Заказан]]="Да"),"Да","Нет")</f>
        <v>Да</v>
      </c>
      <c r="W1588" s="40" t="str">
        <f>IF(AND(ТабПозиции[[#This Row],[Остаток]]=0,ТабПозиции[[#This Row],[Заказан]]="Да"),"Да","Нет")</f>
        <v>Да</v>
      </c>
      <c r="X1588" s="3"/>
      <c r="Y1588"/>
    </row>
    <row r="1589" spans="1:25" hidden="1" x14ac:dyDescent="0.25">
      <c r="A1589" s="10">
        <v>419</v>
      </c>
      <c r="B1589" s="1">
        <f>IFERROR(VLOOKUP(ТабПозиции[[#This Row],[orderNum]],ТабЗаказы[#Data],MATCH(B$7,ТабЗаказы[#Headers],0),0),"")</f>
        <v>45661</v>
      </c>
      <c r="C1589" t="str">
        <f>MONTH(ТабПозиции[[#This Row],[date]])&amp;"/"&amp;YEAR(ТабПозиции[[#This Row],[date]])</f>
        <v>1/2025</v>
      </c>
      <c r="D1589" s="1" t="str">
        <f>IFERROR(VLOOKUP(ТабПозиции[[#This Row],[orderNum]],ТабЗаказы[#Data],MATCH(D$7,ТабЗаказы[#Headers],0),0),"")</f>
        <v/>
      </c>
      <c r="E1589" s="1" t="str">
        <f>IFERROR(VLOOKUP(ТабПозиции[[#This Row],[orderNum]],ТабЗаказы[#Data],MATCH(E$7,ТабЗаказы[#Headers],0),0),"")</f>
        <v/>
      </c>
      <c r="F1589" s="58" t="s">
        <v>681</v>
      </c>
      <c r="G1589" s="40" t="s">
        <v>545</v>
      </c>
      <c r="I1589" s="18">
        <v>45664</v>
      </c>
      <c r="J1589" s="10">
        <v>1</v>
      </c>
      <c r="K1589" s="10">
        <v>298</v>
      </c>
      <c r="L1589">
        <f>ТабПозиции[[#This Row],[discountPrice]]*ТабПозиции[[#This Row],[quantity]]</f>
        <v>298</v>
      </c>
      <c r="M1589" s="10">
        <v>314</v>
      </c>
      <c r="N1589">
        <f t="shared" si="29"/>
        <v>314</v>
      </c>
      <c r="P158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Row],[orderNum]],ТабПозиции[orderSumm])&gt;1500),ABS(N1589*VLOOKUP(ТабПозиции[[#This Row],[orderNum]],ТабЗаказы[#Data],MATCH("Percent",ТабЗаказы[#Headers],0),0))/100,200/COUNTIF(ТабПозиции[orderNum],ТабПозиции[[#This Row],[orderNum]])),0),"")</f>
        <v>31</v>
      </c>
      <c r="Q1589">
        <f>IF(OR(ТабПозиции[[#This Row],[item]]="По штрихкоду",ТабПозиции[[#This Row],[item]]="Посылка"),ТабПозиции[[#This Row],[deliverySumm]]+ТабПозиции[[#This Row],[deliveryPost]],SUM(N1589:P1589))</f>
        <v>345</v>
      </c>
      <c r="R1589" s="41">
        <v>345</v>
      </c>
      <c r="S1589" s="46">
        <f>ТабПозиции[[#This Row],[totalSumm]]-ТабПозиции[[#This Row],[payment]]</f>
        <v>0</v>
      </c>
      <c r="T1589" s="18" t="s">
        <v>970</v>
      </c>
      <c r="U1589" s="40" t="s">
        <v>545</v>
      </c>
      <c r="V1589" s="40" t="str">
        <f>IF(AND(ТабПозиции[[#This Row],[Остаток]]=0,ТабПозиции[[#This Row],[Заказан]]="Да"),"Да","Нет")</f>
        <v>Да</v>
      </c>
      <c r="W1589" s="40" t="str">
        <f>IF(AND(ТабПозиции[[#This Row],[Остаток]]=0,ТабПозиции[[#This Row],[Заказан]]="Да"),"Да","Нет")</f>
        <v>Да</v>
      </c>
      <c r="X1589" s="3"/>
      <c r="Y1589"/>
    </row>
    <row r="1590" spans="1:25" hidden="1" x14ac:dyDescent="0.25">
      <c r="A1590" s="10">
        <v>262</v>
      </c>
      <c r="B1590" s="1">
        <f>IFERROR(VLOOKUP(ТабПозиции[[#This Row],[orderNum]],ТабЗаказы[#Data],MATCH(B$7,ТабЗаказы[#Headers],0),0),"")</f>
        <v>45663</v>
      </c>
      <c r="C1590" t="str">
        <f>MONTH(ТабПозиции[[#This Row],[date]])&amp;"/"&amp;YEAR(ТабПозиции[[#This Row],[date]])</f>
        <v>1/2025</v>
      </c>
      <c r="D1590" s="1" t="str">
        <f>IFERROR(VLOOKUP(ТабПозиции[[#This Row],[orderNum]],ТабЗаказы[#Data],MATCH(D$7,ТабЗаказы[#Headers],0),0),"")</f>
        <v/>
      </c>
      <c r="E1590" s="1" t="str">
        <f>IFERROR(VLOOKUP(ТабПозиции[[#This Row],[orderNum]],ТабЗаказы[#Data],MATCH(E$7,ТабЗаказы[#Headers],0),0),"")</f>
        <v/>
      </c>
      <c r="F1590" s="58" t="s">
        <v>2118</v>
      </c>
      <c r="G1590" s="40" t="s">
        <v>545</v>
      </c>
      <c r="I1590" s="18">
        <v>45665</v>
      </c>
      <c r="J1590" s="10">
        <v>1</v>
      </c>
      <c r="K1590" s="10">
        <v>320</v>
      </c>
      <c r="L1590">
        <f>ТабПозиции[[#This Row],[discountPrice]]*ТабПозиции[[#This Row],[quantity]]</f>
        <v>320</v>
      </c>
      <c r="M1590" s="10">
        <v>337</v>
      </c>
      <c r="N1590">
        <f t="shared" si="29"/>
        <v>337</v>
      </c>
      <c r="P159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Row],[orderNum]],ТабПозиции[orderSumm])&gt;1500),ABS(N1590*VLOOKUP(ТабПозиции[[#This Row],[orderNum]],ТабЗаказы[#Data],MATCH("Percent",ТабЗаказы[#Headers],0),0))/100,200/COUNTIF(ТабПозиции[orderNum],ТабПозиции[[#This Row],[orderNum]])),0),"")</f>
        <v>51</v>
      </c>
      <c r="Q1590">
        <f>IF(OR(ТабПозиции[[#This Row],[item]]="По штрихкоду",ТабПозиции[[#This Row],[item]]="Посылка"),ТабПозиции[[#This Row],[deliverySumm]]+ТабПозиции[[#This Row],[deliveryPost]],SUM(N1590:P1590))</f>
        <v>388</v>
      </c>
      <c r="R1590" s="41">
        <v>388</v>
      </c>
      <c r="S1590" s="46">
        <f>ТабПозиции[[#This Row],[totalSumm]]-ТабПозиции[[#This Row],[payment]]</f>
        <v>0</v>
      </c>
      <c r="T1590" s="18" t="s">
        <v>970</v>
      </c>
      <c r="U1590" s="40" t="s">
        <v>545</v>
      </c>
      <c r="V1590" s="40" t="str">
        <f>IF(AND(ТабПозиции[[#This Row],[Остаток]]=0,ТабПозиции[[#This Row],[Заказан]]="Да"),"Да","Нет")</f>
        <v>Да</v>
      </c>
      <c r="W1590" s="40" t="str">
        <f>IF(AND(ТабПозиции[[#This Row],[Остаток]]=0,ТабПозиции[[#This Row],[Заказан]]="Да"),"Да","Нет")</f>
        <v>Да</v>
      </c>
      <c r="X1590" s="3"/>
      <c r="Y1590"/>
    </row>
    <row r="1591" spans="1:25" x14ac:dyDescent="0.25">
      <c r="A1591" s="10">
        <v>262</v>
      </c>
      <c r="B1591" s="1">
        <f>IFERROR(VLOOKUP(ТабПозиции[[#This Row],[orderNum]],ТабЗаказы[#Data],MATCH(B$7,ТабЗаказы[#Headers],0),0),"")</f>
        <v>45663</v>
      </c>
      <c r="C1591" t="str">
        <f>MONTH(ТабПозиции[[#This Row],[date]])&amp;"/"&amp;YEAR(ТабПозиции[[#This Row],[date]])</f>
        <v>1/2025</v>
      </c>
      <c r="D1591" s="1" t="str">
        <f>IFERROR(VLOOKUP(ТабПозиции[[#This Row],[orderNum]],ТабЗаказы[#Data],MATCH(D$7,ТабЗаказы[#Headers],0),0),"")</f>
        <v/>
      </c>
      <c r="E1591" s="1" t="str">
        <f>IFERROR(VLOOKUP(ТабПозиции[[#This Row],[orderNum]],ТабЗаказы[#Data],MATCH(E$7,ТабЗаказы[#Headers],0),0),"")</f>
        <v/>
      </c>
      <c r="F1591" s="58" t="s">
        <v>2119</v>
      </c>
      <c r="G1591" s="40" t="s">
        <v>490</v>
      </c>
      <c r="I1591" s="18">
        <v>45667</v>
      </c>
      <c r="J1591" s="10">
        <v>1</v>
      </c>
      <c r="K1591" s="10">
        <v>2713</v>
      </c>
      <c r="L1591">
        <f>ТабПозиции[[#This Row],[discountPrice]]*ТабПозиции[[#This Row],[quantity]]</f>
        <v>2713</v>
      </c>
      <c r="M1591" s="10">
        <v>2856</v>
      </c>
      <c r="N1591">
        <f t="shared" si="29"/>
        <v>2856</v>
      </c>
      <c r="P159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Row],[orderNum]],ТабПозиции[orderSumm])&gt;1500),ABS(N1591*VLOOKUP(ТабПозиции[[#This Row],[orderNum]],ТабЗаказы[#Data],MATCH("Percent",ТабЗаказы[#Headers],0),0))/100,200/COUNTIF(ТабПозиции[orderNum],ТабПозиции[[#This Row],[orderNum]])),0),"")</f>
        <v>428</v>
      </c>
      <c r="Q1591">
        <f>IF(OR(ТабПозиции[[#This Row],[item]]="По штрихкоду",ТабПозиции[[#This Row],[item]]="Посылка"),ТабПозиции[[#This Row],[deliverySumm]]+ТабПозиции[[#This Row],[deliveryPost]],SUM(N1591:P1591))</f>
        <v>3284</v>
      </c>
      <c r="R1591" s="41">
        <v>3284</v>
      </c>
      <c r="S1591" s="46">
        <f>ТабПозиции[[#This Row],[totalSumm]]-ТабПозиции[[#This Row],[payment]]</f>
        <v>0</v>
      </c>
      <c r="T1591" s="18" t="s">
        <v>970</v>
      </c>
      <c r="U1591" s="40" t="s">
        <v>545</v>
      </c>
      <c r="V1591" s="40" t="str">
        <f>IF(AND(ТабПозиции[[#This Row],[Остаток]]=0,ТабПозиции[[#This Row],[Заказан]]="Да"),"Да","Нет")</f>
        <v>Да</v>
      </c>
      <c r="W1591" s="40" t="s">
        <v>490</v>
      </c>
      <c r="X1591" s="3"/>
      <c r="Y1591"/>
    </row>
    <row r="1592" spans="1:25" hidden="1" x14ac:dyDescent="0.25">
      <c r="A1592" s="10">
        <v>262</v>
      </c>
      <c r="B1592" s="1">
        <f>IFERROR(VLOOKUP(ТабПозиции[[#This Row],[orderNum]],ТабЗаказы[#Data],MATCH(B$7,ТабЗаказы[#Headers],0),0),"")</f>
        <v>45663</v>
      </c>
      <c r="C1592" t="str">
        <f>MONTH(ТабПозиции[[#This Row],[date]])&amp;"/"&amp;YEAR(ТабПозиции[[#This Row],[date]])</f>
        <v>1/2025</v>
      </c>
      <c r="D1592" s="1" t="str">
        <f>IFERROR(VLOOKUP(ТабПозиции[[#This Row],[orderNum]],ТабЗаказы[#Data],MATCH(D$7,ТабЗаказы[#Headers],0),0),"")</f>
        <v/>
      </c>
      <c r="E1592" s="1" t="str">
        <f>IFERROR(VLOOKUP(ТабПозиции[[#This Row],[orderNum]],ТабЗаказы[#Data],MATCH(E$7,ТабЗаказы[#Headers],0),0),"")</f>
        <v/>
      </c>
      <c r="F1592" s="58" t="s">
        <v>2120</v>
      </c>
      <c r="G1592" s="40" t="s">
        <v>545</v>
      </c>
      <c r="I1592" s="18">
        <v>45667</v>
      </c>
      <c r="J1592" s="10">
        <v>1</v>
      </c>
      <c r="K1592" s="10">
        <v>362</v>
      </c>
      <c r="L1592">
        <f>ТабПозиции[[#This Row],[discountPrice]]*ТабПозиции[[#This Row],[quantity]]</f>
        <v>362</v>
      </c>
      <c r="M1592" s="10">
        <v>382</v>
      </c>
      <c r="N1592">
        <f t="shared" si="29"/>
        <v>382</v>
      </c>
      <c r="P159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Row],[orderNum]],ТабПозиции[orderSumm])&gt;1500),ABS(N1592*VLOOKUP(ТабПозиции[[#This Row],[orderNum]],ТабЗаказы[#Data],MATCH("Percent",ТабЗаказы[#Headers],0),0))/100,200/COUNTIF(ТабПозиции[orderNum],ТабПозиции[[#This Row],[orderNum]])),0),"")</f>
        <v>57</v>
      </c>
      <c r="Q1592">
        <f>IF(OR(ТабПозиции[[#This Row],[item]]="По штрихкоду",ТабПозиции[[#This Row],[item]]="Посылка"),ТабПозиции[[#This Row],[deliverySumm]]+ТабПозиции[[#This Row],[deliveryPost]],SUM(N1592:P1592))</f>
        <v>439</v>
      </c>
      <c r="R1592" s="41">
        <v>439</v>
      </c>
      <c r="S1592" s="46">
        <f>ТабПозиции[[#This Row],[totalSumm]]-ТабПозиции[[#This Row],[payment]]</f>
        <v>0</v>
      </c>
      <c r="T1592" s="18" t="s">
        <v>970</v>
      </c>
      <c r="U1592" s="40" t="s">
        <v>545</v>
      </c>
      <c r="V1592" s="40" t="str">
        <f>IF(AND(ТабПозиции[[#This Row],[Остаток]]=0,ТабПозиции[[#This Row],[Заказан]]="Да"),"Да","Нет")</f>
        <v>Да</v>
      </c>
      <c r="W1592" s="40" t="str">
        <f>IF(AND(ТабПозиции[[#This Row],[Остаток]]=0,ТабПозиции[[#This Row],[Заказан]]="Да"),"Да","Нет")</f>
        <v>Да</v>
      </c>
      <c r="X1592" s="3"/>
      <c r="Y1592"/>
    </row>
    <row r="1593" spans="1:25" x14ac:dyDescent="0.25">
      <c r="A1593" s="10">
        <v>262</v>
      </c>
      <c r="B1593" s="1">
        <f>IFERROR(VLOOKUP(ТабПозиции[[#This Row],[orderNum]],ТабЗаказы[#Data],MATCH(B$7,ТабЗаказы[#Headers],0),0),"")</f>
        <v>45663</v>
      </c>
      <c r="C1593" t="str">
        <f>MONTH(ТабПозиции[[#This Row],[date]])&amp;"/"&amp;YEAR(ТабПозиции[[#This Row],[date]])</f>
        <v>1/2025</v>
      </c>
      <c r="D1593" s="1" t="str">
        <f>IFERROR(VLOOKUP(ТабПозиции[[#This Row],[orderNum]],ТабЗаказы[#Data],MATCH(D$7,ТабЗаказы[#Headers],0),0),"")</f>
        <v/>
      </c>
      <c r="E1593" s="1" t="str">
        <f>IFERROR(VLOOKUP(ТабПозиции[[#This Row],[orderNum]],ТабЗаказы[#Data],MATCH(E$7,ТабЗаказы[#Headers],0),0),"")</f>
        <v/>
      </c>
      <c r="F1593" s="58" t="s">
        <v>1930</v>
      </c>
      <c r="G1593" s="40" t="s">
        <v>490</v>
      </c>
      <c r="I1593" s="18">
        <v>45669</v>
      </c>
      <c r="J1593" s="10">
        <v>1</v>
      </c>
      <c r="K1593" s="10">
        <v>447</v>
      </c>
      <c r="L1593">
        <f>ТабПозиции[[#This Row],[discountPrice]]*ТабПозиции[[#This Row],[quantity]]</f>
        <v>447</v>
      </c>
      <c r="M1593" s="10">
        <v>471</v>
      </c>
      <c r="N1593">
        <f t="shared" si="29"/>
        <v>471</v>
      </c>
      <c r="P159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Row],[orderNum]],ТабПозиции[orderSumm])&gt;1500),ABS(N1593*VLOOKUP(ТабПозиции[[#This Row],[orderNum]],ТабЗаказы[#Data],MATCH("Percent",ТабЗаказы[#Headers],0),0))/100,200/COUNTIF(ТабПозиции[orderNum],ТабПозиции[[#This Row],[orderNum]])),0),"")</f>
        <v>71</v>
      </c>
      <c r="Q1593">
        <f>IF(OR(ТабПозиции[[#This Row],[item]]="По штрихкоду",ТабПозиции[[#This Row],[item]]="Посылка"),ТабПозиции[[#This Row],[deliverySumm]]+ТабПозиции[[#This Row],[deliveryPost]],SUM(N1593:P1593))</f>
        <v>542</v>
      </c>
      <c r="R1593" s="41">
        <v>542</v>
      </c>
      <c r="S1593" s="46">
        <f>ТабПозиции[[#This Row],[totalSumm]]-ТабПозиции[[#This Row],[payment]]</f>
        <v>0</v>
      </c>
      <c r="T1593" s="18" t="s">
        <v>970</v>
      </c>
      <c r="U1593" s="40" t="s">
        <v>545</v>
      </c>
      <c r="V1593" s="40" t="str">
        <f>IF(AND(ТабПозиции[[#This Row],[Остаток]]=0,ТабПозиции[[#This Row],[Заказан]]="Да"),"Да","Нет")</f>
        <v>Да</v>
      </c>
      <c r="W1593" s="40" t="s">
        <v>490</v>
      </c>
      <c r="X1593" s="3"/>
      <c r="Y1593"/>
    </row>
    <row r="1594" spans="1:25" hidden="1" x14ac:dyDescent="0.25">
      <c r="A1594" s="10">
        <v>262</v>
      </c>
      <c r="B1594" s="1">
        <f>IFERROR(VLOOKUP(ТабПозиции[[#This Row],[orderNum]],ТабЗаказы[#Data],MATCH(B$7,ТабЗаказы[#Headers],0),0),"")</f>
        <v>45663</v>
      </c>
      <c r="C1594" t="str">
        <f>MONTH(ТабПозиции[[#This Row],[date]])&amp;"/"&amp;YEAR(ТабПозиции[[#This Row],[date]])</f>
        <v>1/2025</v>
      </c>
      <c r="D1594" s="1" t="str">
        <f>IFERROR(VLOOKUP(ТабПозиции[[#This Row],[orderNum]],ТабЗаказы[#Data],MATCH(D$7,ТабЗаказы[#Headers],0),0),"")</f>
        <v/>
      </c>
      <c r="E1594" s="1" t="str">
        <f>IFERROR(VLOOKUP(ТабПозиции[[#This Row],[orderNum]],ТабЗаказы[#Data],MATCH(E$7,ТабЗаказы[#Headers],0),0),"")</f>
        <v/>
      </c>
      <c r="F1594" s="58" t="s">
        <v>1704</v>
      </c>
      <c r="G1594" s="40" t="s">
        <v>545</v>
      </c>
      <c r="I1594" s="18">
        <v>45668</v>
      </c>
      <c r="J1594" s="10">
        <v>1</v>
      </c>
      <c r="K1594" s="10">
        <v>502</v>
      </c>
      <c r="L1594">
        <f>ТабПозиции[[#This Row],[discountPrice]]*ТабПозиции[[#This Row],[quantity]]</f>
        <v>502</v>
      </c>
      <c r="M1594" s="10">
        <v>529</v>
      </c>
      <c r="N1594">
        <f t="shared" si="29"/>
        <v>529</v>
      </c>
      <c r="P159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Row],[orderNum]],ТабПозиции[orderSumm])&gt;1500),ABS(N1594*VLOOKUP(ТабПозиции[[#This Row],[orderNum]],ТабЗаказы[#Data],MATCH("Percent",ТабЗаказы[#Headers],0),0))/100,200/COUNTIF(ТабПозиции[orderNum],ТабПозиции[[#This Row],[orderNum]])),0),"")</f>
        <v>79</v>
      </c>
      <c r="Q1594">
        <f>IF(OR(ТабПозиции[[#This Row],[item]]="По штрихкоду",ТабПозиции[[#This Row],[item]]="Посылка"),ТабПозиции[[#This Row],[deliverySumm]]+ТабПозиции[[#This Row],[deliveryPost]],SUM(N1594:P1594))</f>
        <v>608</v>
      </c>
      <c r="R1594" s="41">
        <v>608</v>
      </c>
      <c r="S1594" s="46">
        <f>ТабПозиции[[#This Row],[totalSumm]]-ТабПозиции[[#This Row],[payment]]</f>
        <v>0</v>
      </c>
      <c r="T1594" s="18" t="s">
        <v>970</v>
      </c>
      <c r="U1594" s="40" t="s">
        <v>545</v>
      </c>
      <c r="V1594" s="40" t="str">
        <f>IF(AND(ТабПозиции[[#This Row],[Остаток]]=0,ТабПозиции[[#This Row],[Заказан]]="Да"),"Да","Нет")</f>
        <v>Да</v>
      </c>
      <c r="W1594" s="40" t="str">
        <f>IF(AND(ТабПозиции[[#This Row],[Остаток]]=0,ТабПозиции[[#This Row],[Заказан]]="Да"),"Да","Нет")</f>
        <v>Да</v>
      </c>
      <c r="X1594" s="3"/>
      <c r="Y1594"/>
    </row>
    <row r="1595" spans="1:25" x14ac:dyDescent="0.25">
      <c r="A1595" s="10">
        <v>262</v>
      </c>
      <c r="B1595" s="1">
        <f>IFERROR(VLOOKUP(ТабПозиции[[#This Row],[orderNum]],ТабЗаказы[#Data],MATCH(B$7,ТабЗаказы[#Headers],0),0),"")</f>
        <v>45663</v>
      </c>
      <c r="C1595" t="str">
        <f>MONTH(ТабПозиции[[#This Row],[date]])&amp;"/"&amp;YEAR(ТабПозиции[[#This Row],[date]])</f>
        <v>1/2025</v>
      </c>
      <c r="D1595" s="1" t="str">
        <f>IFERROR(VLOOKUP(ТабПозиции[[#This Row],[orderNum]],ТабЗаказы[#Data],MATCH(D$7,ТабЗаказы[#Headers],0),0),"")</f>
        <v/>
      </c>
      <c r="E1595" s="1" t="str">
        <f>IFERROR(VLOOKUP(ТабПозиции[[#This Row],[orderNum]],ТабЗаказы[#Data],MATCH(E$7,ТабЗаказы[#Headers],0),0),"")</f>
        <v/>
      </c>
      <c r="F1595" s="58" t="s">
        <v>2121</v>
      </c>
      <c r="G1595" s="40" t="s">
        <v>490</v>
      </c>
      <c r="I1595" s="18">
        <v>45668</v>
      </c>
      <c r="J1595" s="10">
        <v>1</v>
      </c>
      <c r="K1595" s="10">
        <v>397</v>
      </c>
      <c r="L1595">
        <f>ТабПозиции[[#This Row],[discountPrice]]*ТабПозиции[[#This Row],[quantity]]</f>
        <v>397</v>
      </c>
      <c r="M1595" s="10">
        <v>418</v>
      </c>
      <c r="N1595">
        <f t="shared" si="29"/>
        <v>418</v>
      </c>
      <c r="P159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Row],[orderNum]],ТабПозиции[orderSumm])&gt;1500),ABS(N1595*VLOOKUP(ТабПозиции[[#This Row],[orderNum]],ТабЗаказы[#Data],MATCH("Percent",ТабЗаказы[#Headers],0),0))/100,200/COUNTIF(ТабПозиции[orderNum],ТабПозиции[[#This Row],[orderNum]])),0),"")</f>
        <v>63</v>
      </c>
      <c r="Q1595">
        <f>IF(OR(ТабПозиции[[#This Row],[item]]="По штрихкоду",ТабПозиции[[#This Row],[item]]="Посылка"),ТабПозиции[[#This Row],[deliverySumm]]+ТабПозиции[[#This Row],[deliveryPost]],SUM(N1595:P1595))</f>
        <v>481</v>
      </c>
      <c r="R1595" s="41">
        <v>481</v>
      </c>
      <c r="S1595" s="46">
        <f>ТабПозиции[[#This Row],[totalSumm]]-ТабПозиции[[#This Row],[payment]]</f>
        <v>0</v>
      </c>
      <c r="T1595" s="18" t="s">
        <v>970</v>
      </c>
      <c r="U1595" s="40" t="s">
        <v>545</v>
      </c>
      <c r="V1595" s="40" t="str">
        <f>IF(AND(ТабПозиции[[#This Row],[Остаток]]=0,ТабПозиции[[#This Row],[Заказан]]="Да"),"Да","Нет")</f>
        <v>Да</v>
      </c>
      <c r="W1595" s="40" t="s">
        <v>490</v>
      </c>
      <c r="X1595" s="3"/>
      <c r="Y1595"/>
    </row>
    <row r="1596" spans="1:25" hidden="1" x14ac:dyDescent="0.25">
      <c r="A1596" s="10">
        <v>262</v>
      </c>
      <c r="B1596" s="1">
        <f>IFERROR(VLOOKUP(ТабПозиции[[#This Row],[orderNum]],ТабЗаказы[#Data],MATCH(B$7,ТабЗаказы[#Headers],0),0),"")</f>
        <v>45663</v>
      </c>
      <c r="C1596" t="str">
        <f>MONTH(ТабПозиции[[#This Row],[date]])&amp;"/"&amp;YEAR(ТабПозиции[[#This Row],[date]])</f>
        <v>1/2025</v>
      </c>
      <c r="D1596" s="1" t="str">
        <f>IFERROR(VLOOKUP(ТабПозиции[[#This Row],[orderNum]],ТабЗаказы[#Data],MATCH(D$7,ТабЗаказы[#Headers],0),0),"")</f>
        <v/>
      </c>
      <c r="E1596" s="1" t="str">
        <f>IFERROR(VLOOKUP(ТабПозиции[[#This Row],[orderNum]],ТабЗаказы[#Data],MATCH(E$7,ТабЗаказы[#Headers],0),0),"")</f>
        <v/>
      </c>
      <c r="F1596" s="58" t="s">
        <v>2122</v>
      </c>
      <c r="G1596" s="40" t="s">
        <v>545</v>
      </c>
      <c r="I1596" s="18">
        <v>45667</v>
      </c>
      <c r="J1596" s="10">
        <v>1</v>
      </c>
      <c r="K1596" s="10">
        <v>156</v>
      </c>
      <c r="L1596">
        <f>ТабПозиции[[#This Row],[discountPrice]]*ТабПозиции[[#This Row],[quantity]]</f>
        <v>156</v>
      </c>
      <c r="M1596" s="10">
        <v>165</v>
      </c>
      <c r="N1596">
        <f t="shared" si="29"/>
        <v>165</v>
      </c>
      <c r="P159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Row],[orderNum]],ТабПозиции[orderSumm])&gt;1500),ABS(N1596*VLOOKUP(ТабПозиции[[#This Row],[orderNum]],ТабЗаказы[#Data],MATCH("Percent",ТабЗаказы[#Headers],0),0))/100,200/COUNTIF(ТабПозиции[orderNum],ТабПозиции[[#This Row],[orderNum]])),0),"")</f>
        <v>25</v>
      </c>
      <c r="Q1596">
        <f>IF(OR(ТабПозиции[[#This Row],[item]]="По штрихкоду",ТабПозиции[[#This Row],[item]]="Посылка"),ТабПозиции[[#This Row],[deliverySumm]]+ТабПозиции[[#This Row],[deliveryPost]],SUM(N1596:P1596))</f>
        <v>190</v>
      </c>
      <c r="R1596" s="41">
        <v>190</v>
      </c>
      <c r="S1596" s="46">
        <f>ТабПозиции[[#This Row],[totalSumm]]-ТабПозиции[[#This Row],[payment]]</f>
        <v>0</v>
      </c>
      <c r="T1596" s="18" t="s">
        <v>970</v>
      </c>
      <c r="U1596" s="40" t="s">
        <v>545</v>
      </c>
      <c r="V1596" s="40" t="str">
        <f>IF(AND(ТабПозиции[[#This Row],[Остаток]]=0,ТабПозиции[[#This Row],[Заказан]]="Да"),"Да","Нет")</f>
        <v>Да</v>
      </c>
      <c r="W1596" s="40" t="str">
        <f>IF(AND(ТабПозиции[[#This Row],[Остаток]]=0,ТабПозиции[[#This Row],[Заказан]]="Да"),"Да","Нет")</f>
        <v>Да</v>
      </c>
      <c r="X1596" s="3"/>
      <c r="Y1596"/>
    </row>
    <row r="1597" spans="1:25" x14ac:dyDescent="0.25">
      <c r="A1597" s="10">
        <v>262</v>
      </c>
      <c r="B1597" s="1">
        <f>IFERROR(VLOOKUP(ТабПозиции[[#This Row],[orderNum]],ТабЗаказы[#Data],MATCH(B$7,ТабЗаказы[#Headers],0),0),"")</f>
        <v>45663</v>
      </c>
      <c r="C1597" t="str">
        <f>MONTH(ТабПозиции[[#This Row],[date]])&amp;"/"&amp;YEAR(ТабПозиции[[#This Row],[date]])</f>
        <v>1/2025</v>
      </c>
      <c r="D1597" s="1" t="str">
        <f>IFERROR(VLOOKUP(ТабПозиции[[#This Row],[orderNum]],ТабЗаказы[#Data],MATCH(D$7,ТабЗаказы[#Headers],0),0),"")</f>
        <v/>
      </c>
      <c r="E1597" s="1" t="str">
        <f>IFERROR(VLOOKUP(ТабПозиции[[#This Row],[orderNum]],ТабЗаказы[#Data],MATCH(E$7,ТабЗаказы[#Headers],0),0),"")</f>
        <v/>
      </c>
      <c r="F1597" s="58" t="s">
        <v>2123</v>
      </c>
      <c r="G1597" s="40" t="s">
        <v>490</v>
      </c>
      <c r="I1597" s="18">
        <v>45667</v>
      </c>
      <c r="J1597" s="10">
        <v>1</v>
      </c>
      <c r="K1597" s="10">
        <v>1423</v>
      </c>
      <c r="L1597">
        <f>ТабПозиции[[#This Row],[discountPrice]]*ТабПозиции[[#This Row],[quantity]]</f>
        <v>1423</v>
      </c>
      <c r="M1597" s="10">
        <v>1498</v>
      </c>
      <c r="N1597">
        <f t="shared" si="29"/>
        <v>1498</v>
      </c>
      <c r="P159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Row],[orderNum]],ТабПозиции[orderSumm])&gt;1500),ABS(N1597*VLOOKUP(ТабПозиции[[#This Row],[orderNum]],ТабЗаказы[#Data],MATCH("Percent",ТабЗаказы[#Headers],0),0))/100,200/COUNTIF(ТабПозиции[orderNum],ТабПозиции[[#This Row],[orderNum]])),0),"")</f>
        <v>225</v>
      </c>
      <c r="Q1597">
        <f>IF(OR(ТабПозиции[[#This Row],[item]]="По штрихкоду",ТабПозиции[[#This Row],[item]]="Посылка"),ТабПозиции[[#This Row],[deliverySumm]]+ТабПозиции[[#This Row],[deliveryPost]],SUM(N1597:P1597))</f>
        <v>1723</v>
      </c>
      <c r="R1597" s="41">
        <v>1723</v>
      </c>
      <c r="S1597" s="46">
        <f>ТабПозиции[[#This Row],[totalSumm]]-ТабПозиции[[#This Row],[payment]]</f>
        <v>0</v>
      </c>
      <c r="T1597" s="18" t="s">
        <v>970</v>
      </c>
      <c r="U1597" s="40" t="s">
        <v>545</v>
      </c>
      <c r="V1597" s="40" t="str">
        <f>IF(AND(ТабПозиции[[#This Row],[Остаток]]=0,ТабПозиции[[#This Row],[Заказан]]="Да"),"Да","Нет")</f>
        <v>Да</v>
      </c>
      <c r="W1597" s="40" t="s">
        <v>490</v>
      </c>
      <c r="X1597" s="3"/>
      <c r="Y1597"/>
    </row>
    <row r="1598" spans="1:25" x14ac:dyDescent="0.25">
      <c r="A1598" s="10">
        <v>420</v>
      </c>
      <c r="B1598" s="1">
        <f>IFERROR(VLOOKUP(ТабПозиции[[#This Row],[orderNum]],ТабЗаказы[#Data],MATCH(B$7,ТабЗаказы[#Headers],0),0),"")</f>
        <v>45665</v>
      </c>
      <c r="C1598" t="str">
        <f>MONTH(ТабПозиции[[#This Row],[date]])&amp;"/"&amp;YEAR(ТабПозиции[[#This Row],[date]])</f>
        <v>1/2025</v>
      </c>
      <c r="D1598" s="1" t="str">
        <f>IFERROR(VLOOKUP(ТабПозиции[[#This Row],[orderNum]],ТабЗаказы[#Data],MATCH(D$7,ТабЗаказы[#Headers],0),0),"")</f>
        <v/>
      </c>
      <c r="E1598" s="1" t="str">
        <f>IFERROR(VLOOKUP(ТабПозиции[[#This Row],[orderNum]],ТабЗаказы[#Data],MATCH(E$7,ТабЗаказы[#Headers],0),0),"")</f>
        <v/>
      </c>
      <c r="F1598" s="58" t="s">
        <v>2124</v>
      </c>
      <c r="G1598" s="40" t="s">
        <v>490</v>
      </c>
      <c r="I1598" s="18">
        <v>45668</v>
      </c>
      <c r="J1598" s="10">
        <v>1</v>
      </c>
      <c r="K1598" s="10">
        <v>1228</v>
      </c>
      <c r="L1598">
        <f>ТабПозиции[[#This Row],[discountPrice]]*ТабПозиции[[#This Row],[quantity]]</f>
        <v>1228</v>
      </c>
      <c r="M1598" s="10">
        <v>1293</v>
      </c>
      <c r="N1598">
        <f t="shared" si="29"/>
        <v>1293</v>
      </c>
      <c r="P159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Row],[orderNum]],ТабПозиции[orderSumm])&gt;1500),ABS(N1598*VLOOKUP(ТабПозиции[[#This Row],[orderNum]],ТабЗаказы[#Data],MATCH("Percent",ТабЗаказы[#Headers],0),0))/100,200/COUNTIF(ТабПозиции[orderNum],ТабПозиции[[#This Row],[orderNum]])),0),"")</f>
        <v>194</v>
      </c>
      <c r="Q1598">
        <f>IF(OR(ТабПозиции[[#This Row],[item]]="По штрихкоду",ТабПозиции[[#This Row],[item]]="Посылка"),ТабПозиции[[#This Row],[deliverySumm]]+ТабПозиции[[#This Row],[deliveryPost]],SUM(N1598:P1598))</f>
        <v>1487</v>
      </c>
      <c r="R1598" s="41">
        <v>1487</v>
      </c>
      <c r="S1598" s="46">
        <f>ТабПозиции[[#This Row],[totalSumm]]-ТабПозиции[[#This Row],[payment]]</f>
        <v>0</v>
      </c>
      <c r="T1598" s="18" t="s">
        <v>970</v>
      </c>
      <c r="U1598" s="40" t="s">
        <v>545</v>
      </c>
      <c r="V1598" s="40" t="str">
        <f>IF(AND(ТабПозиции[[#This Row],[Остаток]]=0,ТабПозиции[[#This Row],[Заказан]]="Да"),"Да","Нет")</f>
        <v>Да</v>
      </c>
      <c r="W1598" s="40" t="s">
        <v>490</v>
      </c>
      <c r="X1598" s="3"/>
      <c r="Y1598"/>
    </row>
    <row r="1599" spans="1:25" x14ac:dyDescent="0.25">
      <c r="A1599" s="10">
        <v>420</v>
      </c>
      <c r="B1599" s="1">
        <f>IFERROR(VLOOKUP(ТабПозиции[[#This Row],[orderNum]],ТабЗаказы[#Data],MATCH(B$7,ТабЗаказы[#Headers],0),0),"")</f>
        <v>45665</v>
      </c>
      <c r="C1599" t="str">
        <f>MONTH(ТабПозиции[[#This Row],[date]])&amp;"/"&amp;YEAR(ТабПозиции[[#This Row],[date]])</f>
        <v>1/2025</v>
      </c>
      <c r="D1599" s="1" t="str">
        <f>IFERROR(VLOOKUP(ТабПозиции[[#This Row],[orderNum]],ТабЗаказы[#Data],MATCH(D$7,ТабЗаказы[#Headers],0),0),"")</f>
        <v/>
      </c>
      <c r="E1599" s="1" t="str">
        <f>IFERROR(VLOOKUP(ТабПозиции[[#This Row],[orderNum]],ТабЗаказы[#Data],MATCH(E$7,ТабЗаказы[#Headers],0),0),"")</f>
        <v/>
      </c>
      <c r="F1599" s="58" t="s">
        <v>1925</v>
      </c>
      <c r="G1599" s="40" t="s">
        <v>490</v>
      </c>
      <c r="I1599" s="18">
        <v>45669</v>
      </c>
      <c r="J1599" s="10">
        <v>1</v>
      </c>
      <c r="K1599" s="10">
        <v>320</v>
      </c>
      <c r="L1599">
        <f>ТабПозиции[[#This Row],[discountPrice]]*ТабПозиции[[#This Row],[quantity]]</f>
        <v>320</v>
      </c>
      <c r="M1599" s="10">
        <v>337</v>
      </c>
      <c r="N1599">
        <f t="shared" si="29"/>
        <v>337</v>
      </c>
      <c r="P159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Row],[orderNum]],ТабПозиции[orderSumm])&gt;1500),ABS(N1599*VLOOKUP(ТабПозиции[[#This Row],[orderNum]],ТабЗаказы[#Data],MATCH("Percent",ТабЗаказы[#Headers],0),0))/100,200/COUNTIF(ТабПозиции[orderNum],ТабПозиции[[#This Row],[orderNum]])),0),"")</f>
        <v>51</v>
      </c>
      <c r="Q1599">
        <f>IF(OR(ТабПозиции[[#This Row],[item]]="По штрихкоду",ТабПозиции[[#This Row],[item]]="Посылка"),ТабПозиции[[#This Row],[deliverySumm]]+ТабПозиции[[#This Row],[deliveryPost]],SUM(N1599:P1599))</f>
        <v>388</v>
      </c>
      <c r="R1599" s="41">
        <v>388</v>
      </c>
      <c r="S1599" s="46">
        <f>ТабПозиции[[#This Row],[totalSumm]]-ТабПозиции[[#This Row],[payment]]</f>
        <v>0</v>
      </c>
      <c r="T1599" s="18" t="s">
        <v>970</v>
      </c>
      <c r="U1599" s="40" t="s">
        <v>545</v>
      </c>
      <c r="V1599" s="40" t="str">
        <f>IF(AND(ТабПозиции[[#This Row],[Остаток]]=0,ТабПозиции[[#This Row],[Заказан]]="Да"),"Да","Нет")</f>
        <v>Да</v>
      </c>
      <c r="W1599" s="40" t="s">
        <v>490</v>
      </c>
      <c r="X1599" s="3"/>
      <c r="Y1599"/>
    </row>
    <row r="1600" spans="1:25" hidden="1" x14ac:dyDescent="0.25">
      <c r="A1600" s="10">
        <v>420</v>
      </c>
      <c r="B1600" s="1">
        <f>IFERROR(VLOOKUP(ТабПозиции[[#This Row],[orderNum]],ТабЗаказы[#Data],MATCH(B$7,ТабЗаказы[#Headers],0),0),"")</f>
        <v>45665</v>
      </c>
      <c r="C1600" t="str">
        <f>MONTH(ТабПозиции[[#This Row],[date]])&amp;"/"&amp;YEAR(ТабПозиции[[#This Row],[date]])</f>
        <v>1/2025</v>
      </c>
      <c r="D1600" s="1" t="str">
        <f>IFERROR(VLOOKUP(ТабПозиции[[#This Row],[orderNum]],ТабЗаказы[#Data],MATCH(D$7,ТабЗаказы[#Headers],0),0),"")</f>
        <v/>
      </c>
      <c r="E1600" s="1" t="str">
        <f>IFERROR(VLOOKUP(ТабПозиции[[#This Row],[orderNum]],ТабЗаказы[#Data],MATCH(E$7,ТабЗаказы[#Headers],0),0),"")</f>
        <v/>
      </c>
      <c r="F1600" s="58" t="s">
        <v>2125</v>
      </c>
      <c r="G1600" s="40" t="s">
        <v>545</v>
      </c>
      <c r="I1600" s="18">
        <v>45667</v>
      </c>
      <c r="J1600" s="10">
        <v>1</v>
      </c>
      <c r="K1600" s="10">
        <v>247</v>
      </c>
      <c r="L1600">
        <f>ТабПозиции[[#This Row],[discountPrice]]*ТабПозиции[[#This Row],[quantity]]</f>
        <v>247</v>
      </c>
      <c r="M1600" s="10">
        <v>261</v>
      </c>
      <c r="N1600">
        <f t="shared" si="29"/>
        <v>261</v>
      </c>
      <c r="P160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Row],[orderNum]],ТабПозиции[orderSumm])&gt;1500),ABS(N1600*VLOOKUP(ТабПозиции[[#This Row],[orderNum]],ТабЗаказы[#Data],MATCH("Percent",ТабЗаказы[#Headers],0),0))/100,200/COUNTIF(ТабПозиции[orderNum],ТабПозиции[[#This Row],[orderNum]])),0),"")</f>
        <v>39</v>
      </c>
      <c r="Q1600">
        <f>IF(OR(ТабПозиции[[#This Row],[item]]="По штрихкоду",ТабПозиции[[#This Row],[item]]="Посылка"),ТабПозиции[[#This Row],[deliverySumm]]+ТабПозиции[[#This Row],[deliveryPost]],SUM(N1600:P1600))</f>
        <v>300</v>
      </c>
      <c r="R1600" s="41">
        <v>300</v>
      </c>
      <c r="S1600" s="46">
        <f>ТабПозиции[[#This Row],[totalSumm]]-ТабПозиции[[#This Row],[payment]]</f>
        <v>0</v>
      </c>
      <c r="T1600" s="18" t="s">
        <v>970</v>
      </c>
      <c r="U1600" s="40" t="s">
        <v>545</v>
      </c>
      <c r="V1600" s="40" t="str">
        <f>IF(AND(ТабПозиции[[#This Row],[Остаток]]=0,ТабПозиции[[#This Row],[Заказан]]="Да"),"Да","Нет")</f>
        <v>Да</v>
      </c>
      <c r="W1600" s="40" t="str">
        <f>IF(AND(ТабПозиции[[#This Row],[Остаток]]=0,ТабПозиции[[#This Row],[Заказан]]="Да"),"Да","Нет")</f>
        <v>Да</v>
      </c>
      <c r="X1600" s="3"/>
      <c r="Y1600"/>
    </row>
    <row r="1601" spans="1:25" x14ac:dyDescent="0.25">
      <c r="A1601" s="10">
        <v>420</v>
      </c>
      <c r="B1601" s="1">
        <f>IFERROR(VLOOKUP(ТабПозиции[[#This Row],[orderNum]],ТабЗаказы[#Data],MATCH(B$7,ТабЗаказы[#Headers],0),0),"")</f>
        <v>45665</v>
      </c>
      <c r="C1601" t="str">
        <f>MONTH(ТабПозиции[[#This Row],[date]])&amp;"/"&amp;YEAR(ТабПозиции[[#This Row],[date]])</f>
        <v>1/2025</v>
      </c>
      <c r="D1601" s="1" t="str">
        <f>IFERROR(VLOOKUP(ТабПозиции[[#This Row],[orderNum]],ТабЗаказы[#Data],MATCH(D$7,ТабЗаказы[#Headers],0),0),"")</f>
        <v/>
      </c>
      <c r="E1601" s="1" t="str">
        <f>IFERROR(VLOOKUP(ТабПозиции[[#This Row],[orderNum]],ТабЗаказы[#Data],MATCH(E$7,ТабЗаказы[#Headers],0),0),"")</f>
        <v/>
      </c>
      <c r="F1601" s="58" t="s">
        <v>2126</v>
      </c>
      <c r="G1601" s="40" t="s">
        <v>490</v>
      </c>
      <c r="I1601" s="18">
        <v>45669</v>
      </c>
      <c r="J1601" s="10">
        <v>1</v>
      </c>
      <c r="K1601" s="10">
        <v>323</v>
      </c>
      <c r="L1601">
        <f>ТабПозиции[[#This Row],[discountPrice]]*ТабПозиции[[#This Row],[quantity]]</f>
        <v>323</v>
      </c>
      <c r="M1601" s="10">
        <v>340</v>
      </c>
      <c r="N1601">
        <f t="shared" si="29"/>
        <v>340</v>
      </c>
      <c r="P160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Row],[orderNum]],ТабПозиции[orderSumm])&gt;1500),ABS(N1601*VLOOKUP(ТабПозиции[[#This Row],[orderNum]],ТабЗаказы[#Data],MATCH("Percent",ТабЗаказы[#Headers],0),0))/100,200/COUNTIF(ТабПозиции[orderNum],ТабПозиции[[#This Row],[orderNum]])),0),"")</f>
        <v>51</v>
      </c>
      <c r="Q1601">
        <f>IF(OR(ТабПозиции[[#This Row],[item]]="По штрихкоду",ТабПозиции[[#This Row],[item]]="Посылка"),ТабПозиции[[#This Row],[deliverySumm]]+ТабПозиции[[#This Row],[deliveryPost]],SUM(N1601:P1601))</f>
        <v>391</v>
      </c>
      <c r="R1601" s="41">
        <v>391</v>
      </c>
      <c r="S1601" s="46">
        <f>ТабПозиции[[#This Row],[totalSumm]]-ТабПозиции[[#This Row],[payment]]</f>
        <v>0</v>
      </c>
      <c r="T1601" s="18" t="s">
        <v>970</v>
      </c>
      <c r="U1601" s="40" t="s">
        <v>545</v>
      </c>
      <c r="V1601" s="40" t="str">
        <f>IF(AND(ТабПозиции[[#This Row],[Остаток]]=0,ТабПозиции[[#This Row],[Заказан]]="Да"),"Да","Нет")</f>
        <v>Да</v>
      </c>
      <c r="W1601" s="40" t="s">
        <v>490</v>
      </c>
      <c r="X1601" s="3"/>
      <c r="Y1601"/>
    </row>
    <row r="1602" spans="1:25" x14ac:dyDescent="0.25">
      <c r="A1602" s="10">
        <v>420</v>
      </c>
      <c r="B1602" s="1">
        <f>IFERROR(VLOOKUP(ТабПозиции[[#This Row],[orderNum]],ТабЗаказы[#Data],MATCH(B$7,ТабЗаказы[#Headers],0),0),"")</f>
        <v>45665</v>
      </c>
      <c r="C1602" t="str">
        <f>MONTH(ТабПозиции[[#This Row],[date]])&amp;"/"&amp;YEAR(ТабПозиции[[#This Row],[date]])</f>
        <v>1/2025</v>
      </c>
      <c r="D1602" s="1" t="str">
        <f>IFERROR(VLOOKUP(ТабПозиции[[#This Row],[orderNum]],ТабЗаказы[#Data],MATCH(D$7,ТабЗаказы[#Headers],0),0),"")</f>
        <v/>
      </c>
      <c r="E1602" s="1" t="str">
        <f>IFERROR(VLOOKUP(ТабПозиции[[#This Row],[orderNum]],ТабЗаказы[#Data],MATCH(E$7,ТабЗаказы[#Headers],0),0),"")</f>
        <v/>
      </c>
      <c r="F1602" s="58" t="s">
        <v>2127</v>
      </c>
      <c r="G1602" s="40" t="s">
        <v>490</v>
      </c>
      <c r="I1602" s="18">
        <v>45668</v>
      </c>
      <c r="J1602" s="10">
        <v>1</v>
      </c>
      <c r="K1602" s="10">
        <v>717</v>
      </c>
      <c r="L1602">
        <f>ТабПозиции[[#This Row],[discountPrice]]*ТабПозиции[[#This Row],[quantity]]</f>
        <v>717</v>
      </c>
      <c r="M1602" s="10">
        <v>755</v>
      </c>
      <c r="N1602">
        <f t="shared" si="29"/>
        <v>755</v>
      </c>
      <c r="P160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Row],[orderNum]],ТабПозиции[orderSumm])&gt;1500),ABS(N1602*VLOOKUP(ТабПозиции[[#This Row],[orderNum]],ТабЗаказы[#Data],MATCH("Percent",ТабЗаказы[#Headers],0),0))/100,200/COUNTIF(ТабПозиции[orderNum],ТабПозиции[[#This Row],[orderNum]])),0),"")</f>
        <v>113</v>
      </c>
      <c r="Q1602">
        <f>IF(OR(ТабПозиции[[#This Row],[item]]="По штрихкоду",ТабПозиции[[#This Row],[item]]="Посылка"),ТабПозиции[[#This Row],[deliverySumm]]+ТабПозиции[[#This Row],[deliveryPost]],SUM(N1602:P1602))</f>
        <v>868</v>
      </c>
      <c r="R1602" s="41">
        <v>868</v>
      </c>
      <c r="S1602" s="46">
        <f>ТабПозиции[[#This Row],[totalSumm]]-ТабПозиции[[#This Row],[payment]]</f>
        <v>0</v>
      </c>
      <c r="T1602" s="18" t="s">
        <v>970</v>
      </c>
      <c r="U1602" s="40" t="s">
        <v>545</v>
      </c>
      <c r="V1602" s="40" t="str">
        <f>IF(AND(ТабПозиции[[#This Row],[Остаток]]=0,ТабПозиции[[#This Row],[Заказан]]="Да"),"Да","Нет")</f>
        <v>Да</v>
      </c>
      <c r="W1602" s="40" t="s">
        <v>490</v>
      </c>
      <c r="X1602" s="3"/>
      <c r="Y1602"/>
    </row>
    <row r="1603" spans="1:25" x14ac:dyDescent="0.25">
      <c r="A1603" s="10">
        <v>262</v>
      </c>
      <c r="B1603" s="1">
        <f>IFERROR(VLOOKUP(ТабПозиции[[#This Row],[orderNum]],ТабЗаказы[#Data],MATCH(B$7,ТабЗаказы[#Headers],0),0),"")</f>
        <v>45663</v>
      </c>
      <c r="C1603" t="str">
        <f>MONTH(ТабПозиции[[#This Row],[date]])&amp;"/"&amp;YEAR(ТабПозиции[[#This Row],[date]])</f>
        <v>1/2025</v>
      </c>
      <c r="D1603" s="1" t="str">
        <f>IFERROR(VLOOKUP(ТабПозиции[[#This Row],[orderNum]],ТабЗаказы[#Data],MATCH(D$7,ТабЗаказы[#Headers],0),0),"")</f>
        <v/>
      </c>
      <c r="E1603" s="1" t="str">
        <f>IFERROR(VLOOKUP(ТабПозиции[[#This Row],[orderNum]],ТабЗаказы[#Data],MATCH(E$7,ТабЗаказы[#Headers],0),0),"")</f>
        <v/>
      </c>
      <c r="F1603" s="58" t="s">
        <v>1982</v>
      </c>
      <c r="G1603" s="40" t="s">
        <v>490</v>
      </c>
      <c r="I1603" s="18">
        <v>45668</v>
      </c>
      <c r="J1603" s="10">
        <v>1</v>
      </c>
      <c r="K1603" s="10">
        <v>612</v>
      </c>
      <c r="L1603">
        <f>ТабПозиции[[#This Row],[discountPrice]]*ТабПозиции[[#This Row],[quantity]]</f>
        <v>612</v>
      </c>
      <c r="M1603" s="10">
        <v>645</v>
      </c>
      <c r="N1603">
        <f t="shared" si="29"/>
        <v>645</v>
      </c>
      <c r="P160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Row],[orderNum]],ТабПозиции[orderSumm])&gt;1500),ABS(N1603*VLOOKUP(ТабПозиции[[#This Row],[orderNum]],ТабЗаказы[#Data],MATCH("Percent",ТабЗаказы[#Headers],0),0))/100,200/COUNTIF(ТабПозиции[orderNum],ТабПозиции[[#This Row],[orderNum]])),0),"")</f>
        <v>97</v>
      </c>
      <c r="Q1603">
        <f>IF(OR(ТабПозиции[[#This Row],[item]]="По штрихкоду",ТабПозиции[[#This Row],[item]]="Посылка"),ТабПозиции[[#This Row],[deliverySumm]]+ТабПозиции[[#This Row],[deliveryPost]],SUM(N1603:P1603))</f>
        <v>742</v>
      </c>
      <c r="R1603" s="41">
        <v>742</v>
      </c>
      <c r="S1603" s="46">
        <f>ТабПозиции[[#This Row],[totalSumm]]-ТабПозиции[[#This Row],[payment]]</f>
        <v>0</v>
      </c>
      <c r="T1603" s="18" t="s">
        <v>970</v>
      </c>
      <c r="U1603" s="40" t="s">
        <v>545</v>
      </c>
      <c r="V1603" s="40" t="str">
        <f>IF(AND(ТабПозиции[[#This Row],[Остаток]]=0,ТабПозиции[[#This Row],[Заказан]]="Да"),"Да","Нет")</f>
        <v>Да</v>
      </c>
      <c r="W1603" s="40" t="s">
        <v>490</v>
      </c>
      <c r="X1603" s="3"/>
      <c r="Y1603"/>
    </row>
    <row r="1604" spans="1:25" x14ac:dyDescent="0.25">
      <c r="A1604" s="10">
        <v>262</v>
      </c>
      <c r="B1604" s="1">
        <f>IFERROR(VLOOKUP(ТабПозиции[[#This Row],[orderNum]],ТабЗаказы[#Data],MATCH(B$7,ТабЗаказы[#Headers],0),0),"")</f>
        <v>45663</v>
      </c>
      <c r="C1604" t="str">
        <f>MONTH(ТабПозиции[[#This Row],[date]])&amp;"/"&amp;YEAR(ТабПозиции[[#This Row],[date]])</f>
        <v>1/2025</v>
      </c>
      <c r="D1604" s="1" t="str">
        <f>IFERROR(VLOOKUP(ТабПозиции[[#This Row],[orderNum]],ТабЗаказы[#Data],MATCH(D$7,ТабЗаказы[#Headers],0),0),"")</f>
        <v/>
      </c>
      <c r="E1604" s="1" t="str">
        <f>IFERROR(VLOOKUP(ТабПозиции[[#This Row],[orderNum]],ТабЗаказы[#Data],MATCH(E$7,ТабЗаказы[#Headers],0),0),"")</f>
        <v/>
      </c>
      <c r="F1604" s="58" t="s">
        <v>1993</v>
      </c>
      <c r="G1604" s="40" t="s">
        <v>490</v>
      </c>
      <c r="I1604" s="18">
        <v>45671</v>
      </c>
      <c r="J1604" s="10">
        <v>1</v>
      </c>
      <c r="K1604" s="10">
        <v>211</v>
      </c>
      <c r="L1604">
        <f>ТабПозиции[[#This Row],[discountPrice]]*ТабПозиции[[#This Row],[quantity]]</f>
        <v>211</v>
      </c>
      <c r="M1604" s="10">
        <v>223</v>
      </c>
      <c r="N1604">
        <f t="shared" si="29"/>
        <v>223</v>
      </c>
      <c r="P160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Row],[orderNum]],ТабПозиции[orderSumm])&gt;1500),ABS(N1604*VLOOKUP(ТабПозиции[[#This Row],[orderNum]],ТабЗаказы[#Data],MATCH("Percent",ТабЗаказы[#Headers],0),0))/100,200/COUNTIF(ТабПозиции[orderNum],ТабПозиции[[#This Row],[orderNum]])),0),"")</f>
        <v>33</v>
      </c>
      <c r="Q1604">
        <f>IF(OR(ТабПозиции[[#This Row],[item]]="По штрихкоду",ТабПозиции[[#This Row],[item]]="Посылка"),ТабПозиции[[#This Row],[deliverySumm]]+ТабПозиции[[#This Row],[deliveryPost]],SUM(N1604:P1604))</f>
        <v>256</v>
      </c>
      <c r="R1604" s="41">
        <v>256</v>
      </c>
      <c r="S1604" s="46">
        <f>ТабПозиции[[#This Row],[totalSumm]]-ТабПозиции[[#This Row],[payment]]</f>
        <v>0</v>
      </c>
      <c r="T1604" s="18" t="s">
        <v>970</v>
      </c>
      <c r="U1604" s="40" t="s">
        <v>545</v>
      </c>
      <c r="V1604" s="40" t="str">
        <f>IF(AND(ТабПозиции[[#This Row],[Остаток]]=0,ТабПозиции[[#This Row],[Заказан]]="Да"),"Да","Нет")</f>
        <v>Да</v>
      </c>
      <c r="W1604" s="40" t="s">
        <v>490</v>
      </c>
      <c r="X1604" s="3"/>
      <c r="Y1604"/>
    </row>
    <row r="1605" spans="1:25" hidden="1" x14ac:dyDescent="0.25">
      <c r="A1605" s="10">
        <v>421</v>
      </c>
      <c r="B1605" s="1">
        <f>IFERROR(VLOOKUP(ТабПозиции[[#This Row],[orderNum]],ТабЗаказы[#Data],MATCH(B$7,ТабЗаказы[#Headers],0),0),"")</f>
        <v>45666</v>
      </c>
      <c r="C1605" t="str">
        <f>MONTH(ТабПозиции[[#This Row],[date]])&amp;"/"&amp;YEAR(ТабПозиции[[#This Row],[date]])</f>
        <v>1/2025</v>
      </c>
      <c r="D1605" s="1" t="str">
        <f>IFERROR(VLOOKUP(ТабПозиции[[#This Row],[orderNum]],ТабЗаказы[#Data],MATCH(D$7,ТабЗаказы[#Headers],0),0),"")</f>
        <v/>
      </c>
      <c r="E1605" s="1" t="str">
        <f>IFERROR(VLOOKUP(ТабПозиции[[#This Row],[orderNum]],ТабЗаказы[#Data],MATCH(E$7,ТабЗаказы[#Headers],0),0),"")</f>
        <v/>
      </c>
      <c r="F1605" s="10" t="s">
        <v>820</v>
      </c>
      <c r="G1605" s="40" t="s">
        <v>545</v>
      </c>
      <c r="H1605" s="12" t="s">
        <v>2128</v>
      </c>
      <c r="I1605" s="18">
        <v>45667</v>
      </c>
      <c r="J1605" s="10">
        <v>1</v>
      </c>
      <c r="K1605" s="10">
        <v>5200</v>
      </c>
      <c r="L1605">
        <f>ТабПозиции[[#This Row],[discountPrice]]*ТабПозиции[[#This Row],[quantity]]</f>
        <v>5200</v>
      </c>
      <c r="M1605" s="10">
        <v>5200</v>
      </c>
      <c r="N1605">
        <f t="shared" si="29"/>
        <v>5200</v>
      </c>
      <c r="O1605" s="10">
        <v>740</v>
      </c>
      <c r="P160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Row],[orderNum]],ТабПозиции[orderSumm])&gt;1500),ABS(N1605*VLOOKUP(ТабПозиции[[#This Row],[orderNum]],ТабЗаказы[#Data],MATCH("Percent",ТабЗаказы[#Headers],0),0))/100,200/COUNTIF(ТабПозиции[orderNum],ТабПозиции[[#This Row],[orderNum]])),0),"")</f>
        <v>780</v>
      </c>
      <c r="Q1605">
        <f>IF(OR(ТабПозиции[[#This Row],[item]]="По штрихкоду",ТабПозиции[[#This Row],[item]]="Посылка"),ТабПозиции[[#This Row],[deliverySumm]]+ТабПозиции[[#This Row],[deliveryPost]],SUM(N1605:P1605))</f>
        <v>1520</v>
      </c>
      <c r="R1605" s="41">
        <v>1520</v>
      </c>
      <c r="S1605" s="46">
        <f>ТабПозиции[[#This Row],[totalSumm]]-ТабПозиции[[#This Row],[payment]]</f>
        <v>0</v>
      </c>
      <c r="T1605" s="18" t="s">
        <v>1021</v>
      </c>
      <c r="U1605" s="40" t="s">
        <v>545</v>
      </c>
      <c r="V1605" s="40" t="str">
        <f>IF(AND(ТабПозиции[[#This Row],[Остаток]]=0,ТабПозиции[[#This Row],[Заказан]]="Да"),"Да","Нет")</f>
        <v>Да</v>
      </c>
      <c r="W1605" s="40" t="s">
        <v>545</v>
      </c>
      <c r="X1605" s="3"/>
      <c r="Y1605"/>
    </row>
    <row r="1606" spans="1:25" x14ac:dyDescent="0.25">
      <c r="A1606" s="10">
        <v>423</v>
      </c>
      <c r="B1606" s="1">
        <f>IFERROR(VLOOKUP(ТабПозиции[[#This Row],[orderNum]],ТабЗаказы[#Data],MATCH(B$7,ТабЗаказы[#Headers],0),0),"")</f>
        <v>45667</v>
      </c>
      <c r="C1606" t="str">
        <f>MONTH(ТабПозиции[[#This Row],[date]])&amp;"/"&amp;YEAR(ТабПозиции[[#This Row],[date]])</f>
        <v>1/2025</v>
      </c>
      <c r="D1606" s="1" t="str">
        <f>IFERROR(VLOOKUP(ТабПозиции[[#This Row],[orderNum]],ТабЗаказы[#Data],MATCH(D$7,ТабЗаказы[#Headers],0),0),"")</f>
        <v/>
      </c>
      <c r="E1606" s="1" t="str">
        <f>IFERROR(VLOOKUP(ТабПозиции[[#This Row],[orderNum]],ТабЗаказы[#Data],MATCH(E$7,ТабЗаказы[#Headers],0),0),"")</f>
        <v/>
      </c>
      <c r="F1606" s="58" t="s">
        <v>2135</v>
      </c>
      <c r="G1606" s="40" t="s">
        <v>490</v>
      </c>
      <c r="I1606" s="18">
        <v>45669</v>
      </c>
      <c r="J1606" s="10">
        <v>1</v>
      </c>
      <c r="K1606" s="10">
        <v>647</v>
      </c>
      <c r="L1606">
        <f>ТабПозиции[[#This Row],[discountPrice]]*ТабПозиции[[#This Row],[quantity]]</f>
        <v>647</v>
      </c>
      <c r="M1606" s="10">
        <v>682</v>
      </c>
      <c r="N1606">
        <f t="shared" ref="N1606:N1659" si="30">M1606*J1606</f>
        <v>682</v>
      </c>
      <c r="P160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Row],[orderNum]],ТабПозиции[orderSumm])&gt;1500),ABS(N1606*VLOOKUP(ТабПозиции[[#This Row],[orderNum]],ТабЗаказы[#Data],MATCH("Percent",ТабЗаказы[#Headers],0),0))/100,200/COUNTIF(ТабПозиции[orderNum],ТабПозиции[[#This Row],[orderNum]])),0),"")</f>
        <v>200</v>
      </c>
      <c r="Q1606">
        <f>IF(OR(ТабПозиции[[#This Row],[item]]="По штрихкоду",ТабПозиции[[#This Row],[item]]="Посылка"),ТабПозиции[[#This Row],[deliverySumm]]+ТабПозиции[[#This Row],[deliveryPost]],SUM(N1606:P1606))</f>
        <v>882</v>
      </c>
      <c r="R1606" s="41">
        <v>882</v>
      </c>
      <c r="S1606" s="46">
        <f>ТабПозиции[[#This Row],[totalSumm]]-ТабПозиции[[#This Row],[payment]]</f>
        <v>0</v>
      </c>
      <c r="T1606" s="18" t="s">
        <v>970</v>
      </c>
      <c r="U1606" s="40" t="s">
        <v>545</v>
      </c>
      <c r="V1606" s="40" t="str">
        <f>IF(AND(ТабПозиции[[#This Row],[Остаток]]=0,ТабПозиции[[#This Row],[Заказан]]="Да"),"Да","Нет")</f>
        <v>Да</v>
      </c>
      <c r="W1606" s="40" t="s">
        <v>490</v>
      </c>
      <c r="X1606" s="3"/>
      <c r="Y1606"/>
    </row>
    <row r="1607" spans="1:25" hidden="1" x14ac:dyDescent="0.25">
      <c r="A1607" s="10">
        <v>426</v>
      </c>
      <c r="B1607" s="1">
        <f>IFERROR(VLOOKUP(ТабПозиции[[#This Row],[orderNum]],ТабЗаказы[#Data],MATCH(B$7,ТабЗаказы[#Headers],0),0),"")</f>
        <v>45667</v>
      </c>
      <c r="C1607" t="str">
        <f>MONTH(ТабПозиции[[#This Row],[date]])&amp;"/"&amp;YEAR(ТабПозиции[[#This Row],[date]])</f>
        <v>1/2025</v>
      </c>
      <c r="D1607" s="1" t="str">
        <f>IFERROR(VLOOKUP(ТабПозиции[[#This Row],[orderNum]],ТабЗаказы[#Data],MATCH(D$7,ТабЗаказы[#Headers],0),0),"")</f>
        <v/>
      </c>
      <c r="E1607" s="1" t="str">
        <f>IFERROR(VLOOKUP(ТабПозиции[[#This Row],[orderNum]],ТабЗаказы[#Data],MATCH(E$7,ТабЗаказы[#Headers],0),0),"")</f>
        <v/>
      </c>
      <c r="F1607" s="10" t="s">
        <v>820</v>
      </c>
      <c r="G1607" s="40" t="s">
        <v>545</v>
      </c>
      <c r="I1607" s="18">
        <v>45667</v>
      </c>
      <c r="J1607" s="10">
        <v>1</v>
      </c>
      <c r="K1607" s="10">
        <v>4666</v>
      </c>
      <c r="L1607">
        <f>ТабПозиции[[#This Row],[discountPrice]]*ТабПозиции[[#This Row],[quantity]]</f>
        <v>4666</v>
      </c>
      <c r="M1607" s="10">
        <v>4666</v>
      </c>
      <c r="N1607">
        <f t="shared" si="30"/>
        <v>4666</v>
      </c>
      <c r="P160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Row],[orderNum]],ТабПозиции[orderSumm])&gt;1500),ABS(N1607*VLOOKUP(ТабПозиции[[#This Row],[orderNum]],ТабЗаказы[#Data],MATCH("Percent",ТабЗаказы[#Headers],0),0))/100,200/COUNTIF(ТабПозиции[orderNum],ТабПозиции[[#This Row],[orderNum]])),0),"")</f>
        <v>700</v>
      </c>
      <c r="Q1607">
        <f>IF(OR(ТабПозиции[[#This Row],[item]]="По штрихкоду",ТабПозиции[[#This Row],[item]]="Посылка"),ТабПозиции[[#This Row],[deliverySumm]]+ТабПозиции[[#This Row],[deliveryPost]],SUM(N1607:P1607))</f>
        <v>700</v>
      </c>
      <c r="R1607" s="41">
        <v>700</v>
      </c>
      <c r="S1607" s="46">
        <f>ТабПозиции[[#This Row],[totalSumm]]-ТабПозиции[[#This Row],[payment]]</f>
        <v>0</v>
      </c>
      <c r="T1607" s="18" t="s">
        <v>2140</v>
      </c>
      <c r="U1607" s="40" t="s">
        <v>545</v>
      </c>
      <c r="V1607" s="40" t="str">
        <f>IF(AND(ТабПозиции[[#This Row],[Остаток]]=0,ТабПозиции[[#This Row],[Заказан]]="Да"),"Да","Нет")</f>
        <v>Да</v>
      </c>
      <c r="W1607" s="40" t="str">
        <f>IF(AND(ТабПозиции[[#This Row],[Остаток]]=0,ТабПозиции[[#This Row],[Заказан]]="Да"),"Да","Нет")</f>
        <v>Да</v>
      </c>
      <c r="X1607" s="3"/>
      <c r="Y1607"/>
    </row>
    <row r="1608" spans="1:25" hidden="1" x14ac:dyDescent="0.25">
      <c r="A1608" s="10">
        <v>424</v>
      </c>
      <c r="B1608" s="1">
        <f>IFERROR(VLOOKUP(ТабПозиции[[#This Row],[orderNum]],ТабЗаказы[#Data],MATCH(B$7,ТабЗаказы[#Headers],0),0),"")</f>
        <v>45667</v>
      </c>
      <c r="C1608" t="str">
        <f>MONTH(ТабПозиции[[#This Row],[date]])&amp;"/"&amp;YEAR(ТабПозиции[[#This Row],[date]])</f>
        <v>1/2025</v>
      </c>
      <c r="D1608" s="1" t="str">
        <f>IFERROR(VLOOKUP(ТабПозиции[[#This Row],[orderNum]],ТабЗаказы[#Data],MATCH(D$7,ТабЗаказы[#Headers],0),0),"")</f>
        <v/>
      </c>
      <c r="E1608" s="1" t="str">
        <f>IFERROR(VLOOKUP(ТабПозиции[[#This Row],[orderNum]],ТабЗаказы[#Data],MATCH(E$7,ТабЗаказы[#Headers],0),0),"")</f>
        <v/>
      </c>
      <c r="F1608" s="10" t="s">
        <v>820</v>
      </c>
      <c r="G1608" s="40" t="s">
        <v>545</v>
      </c>
      <c r="I1608" s="18">
        <v>45667</v>
      </c>
      <c r="J1608" s="10">
        <v>1</v>
      </c>
      <c r="K1608" s="10">
        <v>8543</v>
      </c>
      <c r="L1608">
        <f>ТабПозиции[[#This Row],[discountPrice]]*ТабПозиции[[#This Row],[quantity]]</f>
        <v>8543</v>
      </c>
      <c r="M1608" s="10">
        <v>8543</v>
      </c>
      <c r="N1608">
        <f t="shared" si="30"/>
        <v>8543</v>
      </c>
      <c r="P160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Row],[orderNum]],ТабПозиции[orderSumm])&gt;1500),ABS(N1608*VLOOKUP(ТабПозиции[[#This Row],[orderNum]],ТабЗаказы[#Data],MATCH("Percent",ТабЗаказы[#Headers],0),0))/100,200/COUNTIF(ТабПозиции[orderNum],ТабПозиции[[#This Row],[orderNum]])),0),"")</f>
        <v>1281</v>
      </c>
      <c r="Q1608">
        <f>IF(OR(ТабПозиции[[#This Row],[item]]="По штрихкоду",ТабПозиции[[#This Row],[item]]="Посылка"),ТабПозиции[[#This Row],[deliverySumm]]+ТабПозиции[[#This Row],[deliveryPost]],SUM(N1608:P1608))</f>
        <v>1281</v>
      </c>
      <c r="R1608" s="41">
        <v>1281</v>
      </c>
      <c r="S1608" s="46">
        <f>ТабПозиции[[#This Row],[totalSumm]]-ТабПозиции[[#This Row],[payment]]</f>
        <v>0</v>
      </c>
      <c r="T1608" s="18" t="s">
        <v>960</v>
      </c>
      <c r="U1608" s="40" t="s">
        <v>545</v>
      </c>
      <c r="V1608" s="40" t="str">
        <f>IF(AND(ТабПозиции[[#This Row],[Остаток]]=0,ТабПозиции[[#This Row],[Заказан]]="Да"),"Да","Нет")</f>
        <v>Да</v>
      </c>
      <c r="W1608" s="40" t="str">
        <f>IF(AND(ТабПозиции[[#This Row],[Остаток]]=0,ТабПозиции[[#This Row],[Заказан]]="Да"),"Да","Нет")</f>
        <v>Да</v>
      </c>
      <c r="X1608" s="3"/>
      <c r="Y1608"/>
    </row>
    <row r="1609" spans="1:25" hidden="1" x14ac:dyDescent="0.25">
      <c r="A1609" s="10">
        <v>425</v>
      </c>
      <c r="B1609" s="1">
        <f>IFERROR(VLOOKUP(ТабПозиции[[#This Row],[orderNum]],ТабЗаказы[#Data],MATCH(B$7,ТабЗаказы[#Headers],0),0),"")</f>
        <v>45667</v>
      </c>
      <c r="C1609" t="str">
        <f>MONTH(ТабПозиции[[#This Row],[date]])&amp;"/"&amp;YEAR(ТабПозиции[[#This Row],[date]])</f>
        <v>1/2025</v>
      </c>
      <c r="D1609" s="1" t="s">
        <v>456</v>
      </c>
      <c r="E1609" s="1" t="str">
        <f>IFERROR(VLOOKUP(ТабПозиции[[#This Row],[orderNum]],ТабЗаказы[#Data],MATCH(E$7,ТабЗаказы[#Headers],0),0),"")</f>
        <v/>
      </c>
      <c r="F1609" s="10" t="s">
        <v>820</v>
      </c>
      <c r="G1609" s="40" t="s">
        <v>545</v>
      </c>
      <c r="I1609" s="18">
        <v>45667</v>
      </c>
      <c r="J1609" s="10">
        <v>1</v>
      </c>
      <c r="K1609" s="10">
        <v>2450</v>
      </c>
      <c r="L1609">
        <f>ТабПозиции[[#This Row],[discountPrice]]*ТабПозиции[[#This Row],[quantity]]</f>
        <v>2450</v>
      </c>
      <c r="M1609" s="10">
        <v>2450</v>
      </c>
      <c r="N1609">
        <f t="shared" si="30"/>
        <v>2450</v>
      </c>
      <c r="P160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Row],[orderNum]],ТабПозиции[orderSumm])&gt;1500),ABS(N1609*VLOOKUP(ТабПозиции[[#This Row],[orderNum]],ТабЗаказы[#Data],MATCH("Percent",ТабЗаказы[#Headers],0),0))/100,200/COUNTIF(ТабПозиции[orderNum],ТабПозиции[[#This Row],[orderNum]])),0),"")</f>
        <v>368</v>
      </c>
      <c r="Q1609">
        <f>IF(OR(ТабПозиции[[#This Row],[item]]="По штрихкоду",ТабПозиции[[#This Row],[item]]="Посылка"),ТабПозиции[[#This Row],[deliverySumm]]+ТабПозиции[[#This Row],[deliveryPost]],SUM(N1609:P1609))</f>
        <v>368</v>
      </c>
      <c r="R1609" s="41">
        <v>368</v>
      </c>
      <c r="S1609" s="46">
        <f>ТабПозиции[[#This Row],[totalSumm]]-ТабПозиции[[#This Row],[payment]]</f>
        <v>0</v>
      </c>
      <c r="T1609" s="18" t="s">
        <v>960</v>
      </c>
      <c r="U1609" s="40" t="s">
        <v>545</v>
      </c>
      <c r="V1609" s="40" t="str">
        <f>IF(AND(ТабПозиции[[#This Row],[Остаток]]=0,ТабПозиции[[#This Row],[Заказан]]="Да"),"Да","Нет")</f>
        <v>Да</v>
      </c>
      <c r="W1609" s="40" t="str">
        <f>IF(AND(ТабПозиции[[#This Row],[Остаток]]=0,ТабПозиции[[#This Row],[Заказан]]="Да"),"Да","Нет")</f>
        <v>Да</v>
      </c>
      <c r="X1609" s="3"/>
      <c r="Y1609"/>
    </row>
    <row r="1610" spans="1:25" hidden="1" x14ac:dyDescent="0.25">
      <c r="A1610" s="10">
        <v>427</v>
      </c>
      <c r="B1610" s="1">
        <f>IFERROR(VLOOKUP(ТабПозиции[[#This Row],[orderNum]],ТабЗаказы[#Data],MATCH(B$7,ТабЗаказы[#Headers],0),0),"")</f>
        <v>45667</v>
      </c>
      <c r="C1610" t="str">
        <f>MONTH(ТабПозиции[[#This Row],[date]])&amp;"/"&amp;YEAR(ТабПозиции[[#This Row],[date]])</f>
        <v>1/2025</v>
      </c>
      <c r="D1610" s="1" t="str">
        <f>IFERROR(VLOOKUP(ТабПозиции[[#This Row],[orderNum]],ТабЗаказы[#Data],MATCH(D$7,ТабЗаказы[#Headers],0),0),"")</f>
        <v/>
      </c>
      <c r="E1610" s="1" t="str">
        <f>IFERROR(VLOOKUP(ТабПозиции[[#This Row],[orderNum]],ТабЗаказы[#Data],MATCH(E$7,ТабЗаказы[#Headers],0),0),"")</f>
        <v/>
      </c>
      <c r="F1610" s="10" t="s">
        <v>820</v>
      </c>
      <c r="G1610" s="40" t="s">
        <v>545</v>
      </c>
      <c r="I1610" s="18">
        <v>45667</v>
      </c>
      <c r="J1610" s="10">
        <v>1</v>
      </c>
      <c r="K1610" s="10">
        <v>31000</v>
      </c>
      <c r="L1610">
        <f>ТабПозиции[[#This Row],[discountPrice]]*ТабПозиции[[#This Row],[quantity]]</f>
        <v>31000</v>
      </c>
      <c r="M1610" s="10">
        <v>31000</v>
      </c>
      <c r="N1610">
        <f t="shared" si="30"/>
        <v>31000</v>
      </c>
      <c r="O1610" s="10">
        <f>1153+200</f>
        <v>1353</v>
      </c>
      <c r="P161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Row],[orderNum]],ТабПозиции[orderSumm])&gt;1500),ABS(N1610*VLOOKUP(ТабПозиции[[#This Row],[orderNum]],ТабЗаказы[#Data],MATCH("Percent",ТабЗаказы[#Headers],0),0))/100,200/COUNTIF(ТабПозиции[orderNum],ТабПозиции[[#This Row],[orderNum]])),0),"")</f>
        <v>3100</v>
      </c>
      <c r="Q1610">
        <f>IF(OR(ТабПозиции[[#This Row],[item]]="По штрихкоду",ТабПозиции[[#This Row],[item]]="Посылка"),ТабПозиции[[#This Row],[deliverySumm]]+ТабПозиции[[#This Row],[deliveryPost]],SUM(N1610:P1610))</f>
        <v>4453</v>
      </c>
      <c r="R1610" s="41">
        <v>4453</v>
      </c>
      <c r="S1610" s="46">
        <f>ТабПозиции[[#This Row],[totalSumm]]-ТабПозиции[[#This Row],[payment]]</f>
        <v>0</v>
      </c>
      <c r="T1610" s="18" t="s">
        <v>2141</v>
      </c>
      <c r="U1610" s="40" t="s">
        <v>545</v>
      </c>
      <c r="V1610" s="40" t="str">
        <f>IF(AND(ТабПозиции[[#This Row],[Остаток]]=0,ТабПозиции[[#This Row],[Заказан]]="Да"),"Да","Нет")</f>
        <v>Да</v>
      </c>
      <c r="W1610" s="40" t="str">
        <f>IF(AND(ТабПозиции[[#This Row],[Остаток]]=0,ТабПозиции[[#This Row],[Заказан]]="Да"),"Да","Нет")</f>
        <v>Да</v>
      </c>
      <c r="X1610" s="3"/>
      <c r="Y1610"/>
    </row>
    <row r="1611" spans="1:25" x14ac:dyDescent="0.25">
      <c r="A1611" s="10">
        <v>428</v>
      </c>
      <c r="B1611" s="1">
        <f>IFERROR(VLOOKUP(ТабПозиции[[#This Row],[orderNum]],ТабЗаказы[#Data],MATCH(B$7,ТабЗаказы[#Headers],0),0),"")</f>
        <v>45667</v>
      </c>
      <c r="C1611" t="str">
        <f>MONTH(ТабПозиции[[#This Row],[date]])&amp;"/"&amp;YEAR(ТабПозиции[[#This Row],[date]])</f>
        <v>1/2025</v>
      </c>
      <c r="D1611" s="1" t="str">
        <f>IFERROR(VLOOKUP(ТабПозиции[[#This Row],[orderNum]],ТабЗаказы[#Data],MATCH(D$7,ТабЗаказы[#Headers],0),0),"")</f>
        <v/>
      </c>
      <c r="E1611" s="1" t="str">
        <f>IFERROR(VLOOKUP(ТабПозиции[[#This Row],[orderNum]],ТабЗаказы[#Data],MATCH(E$7,ТабЗаказы[#Headers],0),0),"")</f>
        <v/>
      </c>
      <c r="F1611" s="58" t="s">
        <v>2147</v>
      </c>
      <c r="G1611" s="40" t="s">
        <v>490</v>
      </c>
      <c r="I1611" s="18">
        <v>45669</v>
      </c>
      <c r="J1611" s="10">
        <v>1</v>
      </c>
      <c r="K1611" s="10">
        <v>444</v>
      </c>
      <c r="L1611">
        <f>ТабПозиции[[#This Row],[discountPrice]]*ТабПозиции[[#This Row],[quantity]]</f>
        <v>444</v>
      </c>
      <c r="M1611" s="10">
        <v>468</v>
      </c>
      <c r="N1611">
        <f t="shared" si="30"/>
        <v>468</v>
      </c>
      <c r="P161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Row],[orderNum]],ТабПозиции[orderSumm])&gt;1500),ABS(N1611*VLOOKUP(ТабПозиции[[#This Row],[orderNum]],ТабЗаказы[#Data],MATCH("Percent",ТабЗаказы[#Headers],0),0))/100,200/COUNTIF(ТабПозиции[orderNum],ТабПозиции[[#This Row],[orderNum]])),0),"")</f>
        <v>70</v>
      </c>
      <c r="Q1611">
        <f>IF(OR(ТабПозиции[[#This Row],[item]]="По штрихкоду",ТабПозиции[[#This Row],[item]]="Посылка"),ТабПозиции[[#This Row],[deliverySumm]]+ТабПозиции[[#This Row],[deliveryPost]],SUM(N1611:P1611))</f>
        <v>538</v>
      </c>
      <c r="R1611" s="41">
        <v>538</v>
      </c>
      <c r="S1611" s="46">
        <f>ТабПозиции[[#This Row],[totalSumm]]-ТабПозиции[[#This Row],[payment]]</f>
        <v>0</v>
      </c>
      <c r="T1611" s="18" t="s">
        <v>970</v>
      </c>
      <c r="U1611" s="40" t="s">
        <v>545</v>
      </c>
      <c r="V1611" s="40" t="str">
        <f>IF(AND(ТабПозиции[[#This Row],[Остаток]]=0,ТабПозиции[[#This Row],[Заказан]]="Да"),"Да","Нет")</f>
        <v>Да</v>
      </c>
      <c r="W1611" s="40" t="s">
        <v>490</v>
      </c>
      <c r="X1611" s="3"/>
      <c r="Y1611"/>
    </row>
    <row r="1612" spans="1:25" x14ac:dyDescent="0.25">
      <c r="A1612" s="10">
        <v>428</v>
      </c>
      <c r="B1612" s="1">
        <f>IFERROR(VLOOKUP(ТабПозиции[[#This Row],[orderNum]],ТабЗаказы[#Data],MATCH(B$7,ТабЗаказы[#Headers],0),0),"")</f>
        <v>45667</v>
      </c>
      <c r="C1612" t="str">
        <f>MONTH(ТабПозиции[[#This Row],[date]])&amp;"/"&amp;YEAR(ТабПозиции[[#This Row],[date]])</f>
        <v>1/2025</v>
      </c>
      <c r="D1612" s="1" t="str">
        <f>IFERROR(VLOOKUP(ТабПозиции[[#This Row],[orderNum]],ТабЗаказы[#Data],MATCH(D$7,ТабЗаказы[#Headers],0),0),"")</f>
        <v/>
      </c>
      <c r="E1612" s="1" t="str">
        <f>IFERROR(VLOOKUP(ТабПозиции[[#This Row],[orderNum]],ТабЗаказы[#Data],MATCH(E$7,ТабЗаказы[#Headers],0),0),"")</f>
        <v/>
      </c>
      <c r="F1612" s="58" t="s">
        <v>2148</v>
      </c>
      <c r="G1612" s="40" t="s">
        <v>490</v>
      </c>
      <c r="I1612" s="18">
        <v>45670</v>
      </c>
      <c r="J1612" s="10">
        <v>1</v>
      </c>
      <c r="K1612" s="10">
        <v>402</v>
      </c>
      <c r="L1612">
        <f>ТабПозиции[[#This Row],[discountPrice]]*ТабПозиции[[#This Row],[quantity]]</f>
        <v>402</v>
      </c>
      <c r="M1612" s="10">
        <v>424</v>
      </c>
      <c r="N1612">
        <f t="shared" si="30"/>
        <v>424</v>
      </c>
      <c r="P161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Row],[orderNum]],ТабПозиции[orderSumm])&gt;1500),ABS(N1612*VLOOKUP(ТабПозиции[[#This Row],[orderNum]],ТабЗаказы[#Data],MATCH("Percent",ТабЗаказы[#Headers],0),0))/100,200/COUNTIF(ТабПозиции[orderNum],ТабПозиции[[#This Row],[orderNum]])),0),"")</f>
        <v>64</v>
      </c>
      <c r="Q1612">
        <f>IF(OR(ТабПозиции[[#This Row],[item]]="По штрихкоду",ТабПозиции[[#This Row],[item]]="Посылка"),ТабПозиции[[#This Row],[deliverySumm]]+ТабПозиции[[#This Row],[deliveryPost]],SUM(N1612:P1612))</f>
        <v>488</v>
      </c>
      <c r="R1612" s="41">
        <v>488</v>
      </c>
      <c r="S1612" s="46">
        <f>ТабПозиции[[#This Row],[totalSumm]]-ТабПозиции[[#This Row],[payment]]</f>
        <v>0</v>
      </c>
      <c r="T1612" s="18" t="s">
        <v>970</v>
      </c>
      <c r="U1612" s="40" t="s">
        <v>545</v>
      </c>
      <c r="V1612" s="40" t="str">
        <f>IF(AND(ТабПозиции[[#This Row],[Остаток]]=0,ТабПозиции[[#This Row],[Заказан]]="Да"),"Да","Нет")</f>
        <v>Да</v>
      </c>
      <c r="W1612" s="40" t="s">
        <v>490</v>
      </c>
      <c r="X1612" s="3"/>
      <c r="Y1612"/>
    </row>
    <row r="1613" spans="1:25" x14ac:dyDescent="0.25">
      <c r="A1613" s="10">
        <v>428</v>
      </c>
      <c r="B1613" s="1">
        <f>IFERROR(VLOOKUP(ТабПозиции[[#This Row],[orderNum]],ТабЗаказы[#Data],MATCH(B$7,ТабЗаказы[#Headers],0),0),"")</f>
        <v>45667</v>
      </c>
      <c r="C1613" t="str">
        <f>MONTH(ТабПозиции[[#This Row],[date]])&amp;"/"&amp;YEAR(ТабПозиции[[#This Row],[date]])</f>
        <v>1/2025</v>
      </c>
      <c r="D1613" s="1" t="str">
        <f>IFERROR(VLOOKUP(ТабПозиции[[#This Row],[orderNum]],ТабЗаказы[#Data],MATCH(D$7,ТабЗаказы[#Headers],0),0),"")</f>
        <v/>
      </c>
      <c r="E1613" s="1" t="str">
        <f>IFERROR(VLOOKUP(ТабПозиции[[#This Row],[orderNum]],ТабЗаказы[#Data],MATCH(E$7,ТабЗаказы[#Headers],0),0),"")</f>
        <v/>
      </c>
      <c r="F1613" s="58" t="s">
        <v>2149</v>
      </c>
      <c r="G1613" s="40" t="s">
        <v>490</v>
      </c>
      <c r="I1613" s="18">
        <v>45670</v>
      </c>
      <c r="J1613" s="10">
        <v>2</v>
      </c>
      <c r="K1613" s="10">
        <v>415</v>
      </c>
      <c r="L1613">
        <f>ТабПозиции[[#This Row],[discountPrice]]*ТабПозиции[[#This Row],[quantity]]</f>
        <v>830</v>
      </c>
      <c r="M1613" s="10">
        <v>437</v>
      </c>
      <c r="N1613">
        <f t="shared" si="30"/>
        <v>874</v>
      </c>
      <c r="P161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Row],[orderNum]],ТабПозиции[orderSumm])&gt;1500),ABS(N1613*VLOOKUP(ТабПозиции[[#This Row],[orderNum]],ТабЗаказы[#Data],MATCH("Percent",ТабЗаказы[#Headers],0),0))/100,200/COUNTIF(ТабПозиции[orderNum],ТабПозиции[[#This Row],[orderNum]])),0),"")</f>
        <v>131</v>
      </c>
      <c r="Q1613">
        <f>IF(OR(ТабПозиции[[#This Row],[item]]="По штрихкоду",ТабПозиции[[#This Row],[item]]="Посылка"),ТабПозиции[[#This Row],[deliverySumm]]+ТабПозиции[[#This Row],[deliveryPost]],SUM(N1613:P1613))</f>
        <v>1005</v>
      </c>
      <c r="R1613" s="41">
        <v>1005</v>
      </c>
      <c r="S1613" s="46">
        <f>ТабПозиции[[#This Row],[totalSumm]]-ТабПозиции[[#This Row],[payment]]</f>
        <v>0</v>
      </c>
      <c r="T1613" s="18" t="s">
        <v>970</v>
      </c>
      <c r="U1613" s="40" t="s">
        <v>545</v>
      </c>
      <c r="V1613" s="40" t="str">
        <f>IF(AND(ТабПозиции[[#This Row],[Остаток]]=0,ТабПозиции[[#This Row],[Заказан]]="Да"),"Да","Нет")</f>
        <v>Да</v>
      </c>
      <c r="W1613" s="40" t="s">
        <v>490</v>
      </c>
      <c r="X1613" s="3"/>
      <c r="Y1613"/>
    </row>
    <row r="1614" spans="1:25" x14ac:dyDescent="0.25">
      <c r="A1614" s="10">
        <v>428</v>
      </c>
      <c r="B1614" s="1">
        <f>IFERROR(VLOOKUP(ТабПозиции[[#This Row],[orderNum]],ТабЗаказы[#Data],MATCH(B$7,ТабЗаказы[#Headers],0),0),"")</f>
        <v>45667</v>
      </c>
      <c r="C1614" t="str">
        <f>MONTH(ТабПозиции[[#This Row],[date]])&amp;"/"&amp;YEAR(ТабПозиции[[#This Row],[date]])</f>
        <v>1/2025</v>
      </c>
      <c r="D1614" s="1" t="str">
        <f>IFERROR(VLOOKUP(ТабПозиции[[#This Row],[orderNum]],ТабЗаказы[#Data],MATCH(D$7,ТабЗаказы[#Headers],0),0),"")</f>
        <v/>
      </c>
      <c r="E1614" s="1" t="str">
        <f>IFERROR(VLOOKUP(ТабПозиции[[#This Row],[orderNum]],ТабЗаказы[#Data],MATCH(E$7,ТабЗаказы[#Headers],0),0),"")</f>
        <v/>
      </c>
      <c r="F1614" s="58" t="s">
        <v>2150</v>
      </c>
      <c r="G1614" s="40" t="s">
        <v>490</v>
      </c>
      <c r="I1614" s="18">
        <v>45673</v>
      </c>
      <c r="J1614" s="10">
        <v>1</v>
      </c>
      <c r="K1614" s="10">
        <v>584</v>
      </c>
      <c r="L1614">
        <f>ТабПозиции[[#This Row],[discountPrice]]*ТабПозиции[[#This Row],[quantity]]</f>
        <v>584</v>
      </c>
      <c r="M1614" s="10">
        <v>615</v>
      </c>
      <c r="N1614">
        <f t="shared" si="30"/>
        <v>615</v>
      </c>
      <c r="P161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Row],[orderNum]],ТабПозиции[orderSumm])&gt;1500),ABS(N1614*VLOOKUP(ТабПозиции[[#This Row],[orderNum]],ТабЗаказы[#Data],MATCH("Percent",ТабЗаказы[#Headers],0),0))/100,200/COUNTIF(ТабПозиции[orderNum],ТабПозиции[[#This Row],[orderNum]])),0),"")</f>
        <v>92</v>
      </c>
      <c r="Q1614">
        <f>IF(OR(ТабПозиции[[#This Row],[item]]="По штрихкоду",ТабПозиции[[#This Row],[item]]="Посылка"),ТабПозиции[[#This Row],[deliverySumm]]+ТабПозиции[[#This Row],[deliveryPost]],SUM(N1614:P1614))</f>
        <v>707</v>
      </c>
      <c r="R1614" s="41">
        <v>707</v>
      </c>
      <c r="S1614" s="46">
        <f>ТабПозиции[[#This Row],[totalSumm]]-ТабПозиции[[#This Row],[payment]]</f>
        <v>0</v>
      </c>
      <c r="T1614" s="18" t="s">
        <v>970</v>
      </c>
      <c r="U1614" s="40" t="s">
        <v>545</v>
      </c>
      <c r="V1614" s="40" t="str">
        <f>IF(AND(ТабПозиции[[#This Row],[Остаток]]=0,ТабПозиции[[#This Row],[Заказан]]="Да"),"Да","Нет")</f>
        <v>Да</v>
      </c>
      <c r="W1614" s="40" t="s">
        <v>490</v>
      </c>
      <c r="X1614" s="3"/>
      <c r="Y1614"/>
    </row>
    <row r="1615" spans="1:25" x14ac:dyDescent="0.25">
      <c r="A1615" s="10">
        <v>428</v>
      </c>
      <c r="B1615" s="1">
        <f>IFERROR(VLOOKUP(ТабПозиции[[#This Row],[orderNum]],ТабЗаказы[#Data],MATCH(B$7,ТабЗаказы[#Headers],0),0),"")</f>
        <v>45667</v>
      </c>
      <c r="C1615" t="str">
        <f>MONTH(ТабПозиции[[#This Row],[date]])&amp;"/"&amp;YEAR(ТабПозиции[[#This Row],[date]])</f>
        <v>1/2025</v>
      </c>
      <c r="D1615" s="1" t="str">
        <f>IFERROR(VLOOKUP(ТабПозиции[[#This Row],[orderNum]],ТабЗаказы[#Data],MATCH(D$7,ТабЗаказы[#Headers],0),0),"")</f>
        <v/>
      </c>
      <c r="E1615" s="1" t="str">
        <f>IFERROR(VLOOKUP(ТабПозиции[[#This Row],[orderNum]],ТабЗаказы[#Data],MATCH(E$7,ТабЗаказы[#Headers],0),0),"")</f>
        <v/>
      </c>
      <c r="F1615" s="58" t="s">
        <v>2151</v>
      </c>
      <c r="G1615" s="40" t="s">
        <v>490</v>
      </c>
      <c r="I1615" s="18">
        <v>45671</v>
      </c>
      <c r="J1615" s="10">
        <v>2</v>
      </c>
      <c r="K1615" s="10">
        <v>252</v>
      </c>
      <c r="L1615">
        <f>ТабПозиции[[#This Row],[discountPrice]]*ТабПозиции[[#This Row],[quantity]]</f>
        <v>504</v>
      </c>
      <c r="M1615" s="10">
        <v>266</v>
      </c>
      <c r="N1615">
        <f t="shared" si="30"/>
        <v>532</v>
      </c>
      <c r="P161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Row],[orderNum]],ТабПозиции[orderSumm])&gt;1500),ABS(N1615*VLOOKUP(ТабПозиции[[#This Row],[orderNum]],ТабЗаказы[#Data],MATCH("Percent",ТабЗаказы[#Headers],0),0))/100,200/COUNTIF(ТабПозиции[orderNum],ТабПозиции[[#This Row],[orderNum]])),0),"")</f>
        <v>80</v>
      </c>
      <c r="Q1615">
        <f>IF(OR(ТабПозиции[[#This Row],[item]]="По штрихкоду",ТабПозиции[[#This Row],[item]]="Посылка"),ТабПозиции[[#This Row],[deliverySumm]]+ТабПозиции[[#This Row],[deliveryPost]],SUM(N1615:P1615))</f>
        <v>612</v>
      </c>
      <c r="R1615" s="41">
        <v>612</v>
      </c>
      <c r="S1615" s="46">
        <f>ТабПозиции[[#This Row],[totalSumm]]-ТабПозиции[[#This Row],[payment]]</f>
        <v>0</v>
      </c>
      <c r="T1615" s="18" t="s">
        <v>970</v>
      </c>
      <c r="U1615" s="40" t="s">
        <v>545</v>
      </c>
      <c r="V1615" s="40" t="str">
        <f>IF(AND(ТабПозиции[[#This Row],[Остаток]]=0,ТабПозиции[[#This Row],[Заказан]]="Да"),"Да","Нет")</f>
        <v>Да</v>
      </c>
      <c r="W1615" s="40" t="s">
        <v>490</v>
      </c>
      <c r="X1615" s="3"/>
      <c r="Y1615"/>
    </row>
    <row r="1616" spans="1:25" x14ac:dyDescent="0.25">
      <c r="A1616" s="10">
        <v>428</v>
      </c>
      <c r="B1616" s="1">
        <f>IFERROR(VLOOKUP(ТабПозиции[[#This Row],[orderNum]],ТабЗаказы[#Data],MATCH(B$7,ТабЗаказы[#Headers],0),0),"")</f>
        <v>45667</v>
      </c>
      <c r="C1616" t="str">
        <f>MONTH(ТабПозиции[[#This Row],[date]])&amp;"/"&amp;YEAR(ТабПозиции[[#This Row],[date]])</f>
        <v>1/2025</v>
      </c>
      <c r="D1616" s="1" t="str">
        <f>IFERROR(VLOOKUP(ТабПозиции[[#This Row],[orderNum]],ТабЗаказы[#Data],MATCH(D$7,ТабЗаказы[#Headers],0),0),"")</f>
        <v/>
      </c>
      <c r="E1616" s="1" t="str">
        <f>IFERROR(VLOOKUP(ТабПозиции[[#This Row],[orderNum]],ТабЗаказы[#Data],MATCH(E$7,ТабЗаказы[#Headers],0),0),"")</f>
        <v/>
      </c>
      <c r="F1616" s="58" t="s">
        <v>2152</v>
      </c>
      <c r="G1616" s="40" t="s">
        <v>490</v>
      </c>
      <c r="I1616" s="18">
        <v>45670</v>
      </c>
      <c r="J1616" s="10">
        <v>1</v>
      </c>
      <c r="K1616" s="10">
        <v>550</v>
      </c>
      <c r="L1616">
        <f>ТабПозиции[[#This Row],[discountPrice]]*ТабПозиции[[#This Row],[quantity]]</f>
        <v>550</v>
      </c>
      <c r="M1616" s="10">
        <v>579</v>
      </c>
      <c r="N1616">
        <f t="shared" si="30"/>
        <v>579</v>
      </c>
      <c r="P161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Row],[orderNum]],ТабПозиции[orderSumm])&gt;1500),ABS(N1616*VLOOKUP(ТабПозиции[[#This Row],[orderNum]],ТабЗаказы[#Data],MATCH("Percent",ТабЗаказы[#Headers],0),0))/100,200/COUNTIF(ТабПозиции[orderNum],ТабПозиции[[#This Row],[orderNum]])),0),"")</f>
        <v>87</v>
      </c>
      <c r="Q1616">
        <f>IF(OR(ТабПозиции[[#This Row],[item]]="По штрихкоду",ТабПозиции[[#This Row],[item]]="Посылка"),ТабПозиции[[#This Row],[deliverySumm]]+ТабПозиции[[#This Row],[deliveryPost]],SUM(N1616:P1616))</f>
        <v>666</v>
      </c>
      <c r="R1616" s="41">
        <v>666</v>
      </c>
      <c r="S1616" s="46">
        <f>ТабПозиции[[#This Row],[totalSumm]]-ТабПозиции[[#This Row],[payment]]</f>
        <v>0</v>
      </c>
      <c r="T1616" s="18" t="s">
        <v>970</v>
      </c>
      <c r="U1616" s="40" t="s">
        <v>545</v>
      </c>
      <c r="V1616" s="40" t="str">
        <f>IF(AND(ТабПозиции[[#This Row],[Остаток]]=0,ТабПозиции[[#This Row],[Заказан]]="Да"),"Да","Нет")</f>
        <v>Да</v>
      </c>
      <c r="W1616" s="40" t="s">
        <v>490</v>
      </c>
      <c r="X1616" s="3"/>
      <c r="Y1616"/>
    </row>
    <row r="1617" spans="1:25" x14ac:dyDescent="0.25">
      <c r="A1617" s="10">
        <v>429</v>
      </c>
      <c r="B1617" s="1">
        <f>IFERROR(VLOOKUP(ТабПозиции[[#This Row],[orderNum]],ТабЗаказы[#Data],MATCH(B$7,ТабЗаказы[#Headers],0),0),"")</f>
        <v>45668</v>
      </c>
      <c r="C1617" t="str">
        <f>MONTH(ТабПозиции[[#This Row],[date]])&amp;"/"&amp;YEAR(ТабПозиции[[#This Row],[date]])</f>
        <v>1/2025</v>
      </c>
      <c r="D1617" s="1" t="str">
        <f>IFERROR(VLOOKUP(ТабПозиции[[#This Row],[orderNum]],ТабЗаказы[#Data],MATCH(D$7,ТабЗаказы[#Headers],0),0),"")</f>
        <v/>
      </c>
      <c r="E1617" s="1" t="str">
        <f>IFERROR(VLOOKUP(ТабПозиции[[#This Row],[orderNum]],ТабЗаказы[#Data],MATCH(E$7,ТабЗаказы[#Headers],0),0),"")</f>
        <v/>
      </c>
      <c r="F1617" s="58" t="s">
        <v>688</v>
      </c>
      <c r="G1617" s="40" t="s">
        <v>490</v>
      </c>
      <c r="I1617" s="18">
        <v>45672</v>
      </c>
      <c r="J1617" s="10">
        <v>1</v>
      </c>
      <c r="K1617" s="10">
        <v>3038</v>
      </c>
      <c r="L1617">
        <f>ТабПозиции[[#This Row],[discountPrice]]*ТабПозиции[[#This Row],[quantity]]</f>
        <v>3038</v>
      </c>
      <c r="M1617" s="10">
        <v>3198</v>
      </c>
      <c r="N1617">
        <f t="shared" si="30"/>
        <v>3198</v>
      </c>
      <c r="P161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Row],[orderNum]],ТабПозиции[orderSumm])&gt;1500),ABS(N1617*VLOOKUP(ТабПозиции[[#This Row],[orderNum]],ТабЗаказы[#Data],MATCH("Percent",ТабЗаказы[#Headers],0),0))/100,200/COUNTIF(ТабПозиции[orderNum],ТабПозиции[[#This Row],[orderNum]])),0),"")</f>
        <v>320</v>
      </c>
      <c r="Q1617">
        <f>IF(OR(ТабПозиции[[#This Row],[item]]="По штрихкоду",ТабПозиции[[#This Row],[item]]="Посылка"),ТабПозиции[[#This Row],[deliverySumm]]+ТабПозиции[[#This Row],[deliveryPost]],SUM(N1617:P1617))</f>
        <v>3518</v>
      </c>
      <c r="R1617" s="41">
        <v>3518</v>
      </c>
      <c r="S1617" s="46">
        <f>ТабПозиции[[#This Row],[totalSumm]]-ТабПозиции[[#This Row],[payment]]</f>
        <v>0</v>
      </c>
      <c r="T1617" s="18" t="s">
        <v>970</v>
      </c>
      <c r="U1617" s="40" t="s">
        <v>545</v>
      </c>
      <c r="V1617" s="40" t="str">
        <f>IF(AND(ТабПозиции[[#This Row],[Остаток]]=0,ТабПозиции[[#This Row],[Заказан]]="Да"),"Да","Нет")</f>
        <v>Да</v>
      </c>
      <c r="W1617" s="40" t="s">
        <v>490</v>
      </c>
      <c r="X1617" s="3"/>
      <c r="Y1617"/>
    </row>
    <row r="1618" spans="1:25" x14ac:dyDescent="0.25">
      <c r="A1618" s="10">
        <v>429</v>
      </c>
      <c r="B1618" s="1">
        <f>IFERROR(VLOOKUP(ТабПозиции[[#This Row],[orderNum]],ТабЗаказы[#Data],MATCH(B$7,ТабЗаказы[#Headers],0),0),"")</f>
        <v>45668</v>
      </c>
      <c r="C1618" t="str">
        <f>MONTH(ТабПозиции[[#This Row],[date]])&amp;"/"&amp;YEAR(ТабПозиции[[#This Row],[date]])</f>
        <v>1/2025</v>
      </c>
      <c r="D1618" s="1" t="str">
        <f>IFERROR(VLOOKUP(ТабПозиции[[#This Row],[orderNum]],ТабЗаказы[#Data],MATCH(D$7,ТабЗаказы[#Headers],0),0),"")</f>
        <v/>
      </c>
      <c r="E1618" s="1" t="str">
        <f>IFERROR(VLOOKUP(ТабПозиции[[#This Row],[orderNum]],ТабЗаказы[#Data],MATCH(E$7,ТабЗаказы[#Headers],0),0),"")</f>
        <v/>
      </c>
      <c r="F1618" s="58" t="s">
        <v>2153</v>
      </c>
      <c r="G1618" s="40" t="s">
        <v>490</v>
      </c>
      <c r="I1618" s="18">
        <v>45674</v>
      </c>
      <c r="J1618" s="10">
        <v>1</v>
      </c>
      <c r="K1618" s="10">
        <v>638</v>
      </c>
      <c r="L1618">
        <f>ТабПозиции[[#This Row],[discountPrice]]*ТабПозиции[[#This Row],[quantity]]</f>
        <v>638</v>
      </c>
      <c r="M1618" s="10">
        <v>672</v>
      </c>
      <c r="N1618">
        <f t="shared" si="30"/>
        <v>672</v>
      </c>
      <c r="P161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Row],[orderNum]],ТабПозиции[orderSumm])&gt;1500),ABS(N1618*VLOOKUP(ТабПозиции[[#This Row],[orderNum]],ТабЗаказы[#Data],MATCH("Percent",ТабЗаказы[#Headers],0),0))/100,200/COUNTIF(ТабПозиции[orderNum],ТабПозиции[[#This Row],[orderNum]])),0),"")</f>
        <v>67</v>
      </c>
      <c r="Q1618">
        <f>IF(OR(ТабПозиции[[#This Row],[item]]="По штрихкоду",ТабПозиции[[#This Row],[item]]="Посылка"),ТабПозиции[[#This Row],[deliverySumm]]+ТабПозиции[[#This Row],[deliveryPost]],SUM(N1618:P1618))</f>
        <v>739</v>
      </c>
      <c r="R1618" s="41">
        <v>739</v>
      </c>
      <c r="S1618" s="46">
        <f>ТабПозиции[[#This Row],[totalSumm]]-ТабПозиции[[#This Row],[payment]]</f>
        <v>0</v>
      </c>
      <c r="T1618" s="18" t="s">
        <v>970</v>
      </c>
      <c r="U1618" s="40" t="s">
        <v>545</v>
      </c>
      <c r="V1618" s="40" t="str">
        <f>IF(AND(ТабПозиции[[#This Row],[Остаток]]=0,ТабПозиции[[#This Row],[Заказан]]="Да"),"Да","Нет")</f>
        <v>Да</v>
      </c>
      <c r="W1618" s="40" t="s">
        <v>490</v>
      </c>
      <c r="X1618" s="3"/>
      <c r="Y1618"/>
    </row>
    <row r="1619" spans="1:25" x14ac:dyDescent="0.25">
      <c r="A1619" s="10">
        <v>429</v>
      </c>
      <c r="B1619" s="1">
        <f>IFERROR(VLOOKUP(ТабПозиции[[#This Row],[orderNum]],ТабЗаказы[#Data],MATCH(B$7,ТабЗаказы[#Headers],0),0),"")</f>
        <v>45668</v>
      </c>
      <c r="C1619" t="str">
        <f>MONTH(ТабПозиции[[#This Row],[date]])&amp;"/"&amp;YEAR(ТабПозиции[[#This Row],[date]])</f>
        <v>1/2025</v>
      </c>
      <c r="D1619" s="1" t="str">
        <f>IFERROR(VLOOKUP(ТабПозиции[[#This Row],[orderNum]],ТабЗаказы[#Data],MATCH(D$7,ТабЗаказы[#Headers],0),0),"")</f>
        <v/>
      </c>
      <c r="E1619" s="1" t="str">
        <f>IFERROR(VLOOKUP(ТабПозиции[[#This Row],[orderNum]],ТабЗаказы[#Data],MATCH(E$7,ТабЗаказы[#Headers],0),0),"")</f>
        <v/>
      </c>
      <c r="F1619" s="58" t="s">
        <v>2154</v>
      </c>
      <c r="G1619" s="40" t="s">
        <v>490</v>
      </c>
      <c r="I1619" s="18">
        <v>45672</v>
      </c>
      <c r="J1619" s="10">
        <v>1</v>
      </c>
      <c r="K1619" s="10">
        <v>1353</v>
      </c>
      <c r="L1619">
        <f>ТабПозиции[[#This Row],[discountPrice]]*ТабПозиции[[#This Row],[quantity]]</f>
        <v>1353</v>
      </c>
      <c r="M1619" s="10">
        <v>1425</v>
      </c>
      <c r="N1619">
        <f t="shared" si="30"/>
        <v>1425</v>
      </c>
      <c r="P161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Row],[orderNum]],ТабПозиции[orderSumm])&gt;1500),ABS(N1619*VLOOKUP(ТабПозиции[[#This Row],[orderNum]],ТабЗаказы[#Data],MATCH("Percent",ТабЗаказы[#Headers],0),0))/100,200/COUNTIF(ТабПозиции[orderNum],ТабПозиции[[#This Row],[orderNum]])),0),"")</f>
        <v>143</v>
      </c>
      <c r="Q1619">
        <f>IF(OR(ТабПозиции[[#This Row],[item]]="По штрихкоду",ТабПозиции[[#This Row],[item]]="Посылка"),ТабПозиции[[#This Row],[deliverySumm]]+ТабПозиции[[#This Row],[deliveryPost]],SUM(N1619:P1619))</f>
        <v>1568</v>
      </c>
      <c r="R1619" s="41">
        <v>1568</v>
      </c>
      <c r="S1619" s="46">
        <f>ТабПозиции[[#This Row],[totalSumm]]-ТабПозиции[[#This Row],[payment]]</f>
        <v>0</v>
      </c>
      <c r="T1619" s="18" t="s">
        <v>970</v>
      </c>
      <c r="U1619" s="40" t="s">
        <v>545</v>
      </c>
      <c r="V1619" s="40" t="str">
        <f>IF(AND(ТабПозиции[[#This Row],[Остаток]]=0,ТабПозиции[[#This Row],[Заказан]]="Да"),"Да","Нет")</f>
        <v>Да</v>
      </c>
      <c r="W1619" s="40" t="s">
        <v>490</v>
      </c>
      <c r="X1619" s="3"/>
      <c r="Y1619"/>
    </row>
    <row r="1620" spans="1:25" x14ac:dyDescent="0.25">
      <c r="A1620" s="10">
        <v>429</v>
      </c>
      <c r="B1620" s="1">
        <f>IFERROR(VLOOKUP(ТабПозиции[[#This Row],[orderNum]],ТабЗаказы[#Data],MATCH(B$7,ТабЗаказы[#Headers],0),0),"")</f>
        <v>45668</v>
      </c>
      <c r="C1620" t="str">
        <f>MONTH(ТабПозиции[[#This Row],[date]])&amp;"/"&amp;YEAR(ТабПозиции[[#This Row],[date]])</f>
        <v>1/2025</v>
      </c>
      <c r="D1620" s="1" t="str">
        <f>IFERROR(VLOOKUP(ТабПозиции[[#This Row],[orderNum]],ТабЗаказы[#Data],MATCH(D$7,ТабЗаказы[#Headers],0),0),"")</f>
        <v/>
      </c>
      <c r="E1620" s="1" t="str">
        <f>IFERROR(VLOOKUP(ТабПозиции[[#This Row],[orderNum]],ТабЗаказы[#Data],MATCH(E$7,ТабЗаказы[#Headers],0),0),"")</f>
        <v/>
      </c>
      <c r="F1620" s="58" t="s">
        <v>2155</v>
      </c>
      <c r="G1620" s="40" t="s">
        <v>490</v>
      </c>
      <c r="I1620" s="18">
        <v>45670</v>
      </c>
      <c r="J1620" s="10">
        <v>1</v>
      </c>
      <c r="K1620" s="10">
        <v>189</v>
      </c>
      <c r="L1620">
        <f>ТабПозиции[[#This Row],[discountPrice]]*ТабПозиции[[#This Row],[quantity]]</f>
        <v>189</v>
      </c>
      <c r="M1620" s="10">
        <v>199</v>
      </c>
      <c r="N1620">
        <f t="shared" si="30"/>
        <v>199</v>
      </c>
      <c r="P162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Row],[orderNum]],ТабПозиции[orderSumm])&gt;1500),ABS(N1620*VLOOKUP(ТабПозиции[[#This Row],[orderNum]],ТабЗаказы[#Data],MATCH("Percent",ТабЗаказы[#Headers],0),0))/100,200/COUNTIF(ТабПозиции[orderNum],ТабПозиции[[#This Row],[orderNum]])),0),"")</f>
        <v>20</v>
      </c>
      <c r="Q1620">
        <f>IF(OR(ТабПозиции[[#This Row],[item]]="По штрихкоду",ТабПозиции[[#This Row],[item]]="Посылка"),ТабПозиции[[#This Row],[deliverySumm]]+ТабПозиции[[#This Row],[deliveryPost]],SUM(N1620:P1620))</f>
        <v>219</v>
      </c>
      <c r="R1620" s="41">
        <v>219</v>
      </c>
      <c r="S1620" s="46">
        <f>ТабПозиции[[#This Row],[totalSumm]]-ТабПозиции[[#This Row],[payment]]</f>
        <v>0</v>
      </c>
      <c r="T1620" s="18" t="s">
        <v>970</v>
      </c>
      <c r="U1620" s="40" t="s">
        <v>545</v>
      </c>
      <c r="V1620" s="40" t="str">
        <f>IF(AND(ТабПозиции[[#This Row],[Остаток]]=0,ТабПозиции[[#This Row],[Заказан]]="Да"),"Да","Нет")</f>
        <v>Да</v>
      </c>
      <c r="W1620" s="40" t="s">
        <v>490</v>
      </c>
      <c r="X1620" s="3"/>
      <c r="Y1620"/>
    </row>
    <row r="1621" spans="1:25" x14ac:dyDescent="0.25">
      <c r="A1621" s="10">
        <v>429</v>
      </c>
      <c r="B1621" s="1">
        <f>IFERROR(VLOOKUP(ТабПозиции[[#This Row],[orderNum]],ТабЗаказы[#Data],MATCH(B$7,ТабЗаказы[#Headers],0),0),"")</f>
        <v>45668</v>
      </c>
      <c r="C1621" t="str">
        <f>MONTH(ТабПозиции[[#This Row],[date]])&amp;"/"&amp;YEAR(ТабПозиции[[#This Row],[date]])</f>
        <v>1/2025</v>
      </c>
      <c r="D1621" s="1" t="str">
        <f>IFERROR(VLOOKUP(ТабПозиции[[#This Row],[orderNum]],ТабЗаказы[#Data],MATCH(D$7,ТабЗаказы[#Headers],0),0),"")</f>
        <v/>
      </c>
      <c r="E1621" s="1" t="str">
        <f>IFERROR(VLOOKUP(ТабПозиции[[#This Row],[orderNum]],ТабЗаказы[#Data],MATCH(E$7,ТабЗаказы[#Headers],0),0),"")</f>
        <v/>
      </c>
      <c r="F1621" s="58" t="s">
        <v>2156</v>
      </c>
      <c r="G1621" s="40" t="s">
        <v>490</v>
      </c>
      <c r="I1621" s="18">
        <v>45671</v>
      </c>
      <c r="J1621" s="10">
        <v>1</v>
      </c>
      <c r="K1621" s="10">
        <v>504</v>
      </c>
      <c r="L1621">
        <f>ТабПозиции[[#This Row],[discountPrice]]*ТабПозиции[[#This Row],[quantity]]</f>
        <v>504</v>
      </c>
      <c r="M1621" s="10">
        <v>531</v>
      </c>
      <c r="N1621">
        <f t="shared" si="30"/>
        <v>531</v>
      </c>
      <c r="P162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Row],[orderNum]],ТабПозиции[orderSumm])&gt;1500),ABS(N1621*VLOOKUP(ТабПозиции[[#This Row],[orderNum]],ТабЗаказы[#Data],MATCH("Percent",ТабЗаказы[#Headers],0),0))/100,200/COUNTIF(ТабПозиции[orderNum],ТабПозиции[[#This Row],[orderNum]])),0),"")</f>
        <v>53</v>
      </c>
      <c r="Q1621">
        <f>IF(OR(ТабПозиции[[#This Row],[item]]="По штрихкоду",ТабПозиции[[#This Row],[item]]="Посылка"),ТабПозиции[[#This Row],[deliverySumm]]+ТабПозиции[[#This Row],[deliveryPost]],SUM(N1621:P1621))</f>
        <v>584</v>
      </c>
      <c r="R1621" s="41">
        <v>584</v>
      </c>
      <c r="S1621" s="46">
        <f>ТабПозиции[[#This Row],[totalSumm]]-ТабПозиции[[#This Row],[payment]]</f>
        <v>0</v>
      </c>
      <c r="T1621" s="18" t="s">
        <v>970</v>
      </c>
      <c r="U1621" s="40" t="s">
        <v>545</v>
      </c>
      <c r="V1621" s="40" t="str">
        <f>IF(AND(ТабПозиции[[#This Row],[Остаток]]=0,ТабПозиции[[#This Row],[Заказан]]="Да"),"Да","Нет")</f>
        <v>Да</v>
      </c>
      <c r="W1621" s="40" t="s">
        <v>490</v>
      </c>
      <c r="X1621" s="3"/>
      <c r="Y1621"/>
    </row>
    <row r="1622" spans="1:25" x14ac:dyDescent="0.25">
      <c r="A1622" s="10">
        <v>429</v>
      </c>
      <c r="B1622" s="1">
        <f>IFERROR(VLOOKUP(ТабПозиции[[#This Row],[orderNum]],ТабЗаказы[#Data],MATCH(B$7,ТабЗаказы[#Headers],0),0),"")</f>
        <v>45668</v>
      </c>
      <c r="C1622" t="str">
        <f>MONTH(ТабПозиции[[#This Row],[date]])&amp;"/"&amp;YEAR(ТабПозиции[[#This Row],[date]])</f>
        <v>1/2025</v>
      </c>
      <c r="D1622" s="1" t="str">
        <f>IFERROR(VLOOKUP(ТабПозиции[[#This Row],[orderNum]],ТабЗаказы[#Data],MATCH(D$7,ТабЗаказы[#Headers],0),0),"")</f>
        <v/>
      </c>
      <c r="E1622" s="1" t="str">
        <f>IFERROR(VLOOKUP(ТабПозиции[[#This Row],[orderNum]],ТабЗаказы[#Data],MATCH(E$7,ТабЗаказы[#Headers],0),0),"")</f>
        <v/>
      </c>
      <c r="F1622" s="58" t="s">
        <v>2153</v>
      </c>
      <c r="G1622" s="40" t="s">
        <v>490</v>
      </c>
      <c r="I1622" s="18">
        <v>45672</v>
      </c>
      <c r="J1622" s="10">
        <v>1</v>
      </c>
      <c r="K1622" s="10">
        <v>646</v>
      </c>
      <c r="L1622">
        <f>ТабПозиции[[#This Row],[discountPrice]]*ТабПозиции[[#This Row],[quantity]]</f>
        <v>646</v>
      </c>
      <c r="M1622" s="10">
        <v>680</v>
      </c>
      <c r="N1622">
        <f t="shared" si="30"/>
        <v>680</v>
      </c>
      <c r="P162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Row],[orderNum]],ТабПозиции[orderSumm])&gt;1500),ABS(N1622*VLOOKUP(ТабПозиции[[#This Row],[orderNum]],ТабЗаказы[#Data],MATCH("Percent",ТабЗаказы[#Headers],0),0))/100,200/COUNTIF(ТабПозиции[orderNum],ТабПозиции[[#This Row],[orderNum]])),0),"")</f>
        <v>68</v>
      </c>
      <c r="Q1622">
        <f>IF(OR(ТабПозиции[[#This Row],[item]]="По штрихкоду",ТабПозиции[[#This Row],[item]]="Посылка"),ТабПозиции[[#This Row],[deliverySumm]]+ТабПозиции[[#This Row],[deliveryPost]],SUM(N1622:P1622))</f>
        <v>748</v>
      </c>
      <c r="R1622" s="41">
        <v>748</v>
      </c>
      <c r="S1622" s="46">
        <f>ТабПозиции[[#This Row],[totalSumm]]-ТабПозиции[[#This Row],[payment]]</f>
        <v>0</v>
      </c>
      <c r="T1622" s="18" t="s">
        <v>970</v>
      </c>
      <c r="U1622" s="40" t="s">
        <v>545</v>
      </c>
      <c r="V1622" s="40" t="str">
        <f>IF(AND(ТабПозиции[[#This Row],[Остаток]]=0,ТабПозиции[[#This Row],[Заказан]]="Да"),"Да","Нет")</f>
        <v>Да</v>
      </c>
      <c r="W1622" s="40" t="s">
        <v>490</v>
      </c>
      <c r="X1622" s="3"/>
      <c r="Y1622"/>
    </row>
    <row r="1623" spans="1:25" x14ac:dyDescent="0.25">
      <c r="A1623" s="10">
        <v>428</v>
      </c>
      <c r="B1623" s="1">
        <f>IFERROR(VLOOKUP(ТабПозиции[[#This Row],[orderNum]],ТабЗаказы[#Data],MATCH(B$7,ТабЗаказы[#Headers],0),0),"")</f>
        <v>45667</v>
      </c>
      <c r="C1623" t="str">
        <f>MONTH(ТабПозиции[[#This Row],[date]])&amp;"/"&amp;YEAR(ТабПозиции[[#This Row],[date]])</f>
        <v>1/2025</v>
      </c>
      <c r="D1623" s="1" t="str">
        <f>IFERROR(VLOOKUP(ТабПозиции[[#This Row],[orderNum]],ТабЗаказы[#Data],MATCH(D$7,ТабЗаказы[#Headers],0),0),"")</f>
        <v/>
      </c>
      <c r="E1623" s="1" t="str">
        <f>IFERROR(VLOOKUP(ТабПозиции[[#This Row],[orderNum]],ТабЗаказы[#Data],MATCH(E$7,ТабЗаказы[#Headers],0),0),"")</f>
        <v/>
      </c>
      <c r="F1623" s="58" t="s">
        <v>1704</v>
      </c>
      <c r="G1623" s="40" t="s">
        <v>490</v>
      </c>
      <c r="I1623" s="18">
        <v>45671</v>
      </c>
      <c r="J1623" s="10">
        <v>1</v>
      </c>
      <c r="K1623" s="10">
        <v>433</v>
      </c>
      <c r="L1623">
        <f>ТабПозиции[[#This Row],[discountPrice]]*ТабПозиции[[#This Row],[quantity]]</f>
        <v>433</v>
      </c>
      <c r="M1623" s="10">
        <v>456</v>
      </c>
      <c r="N1623">
        <f t="shared" si="30"/>
        <v>456</v>
      </c>
      <c r="P162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Row],[orderNum]],ТабПозиции[orderSumm])&gt;1500),ABS(N1623*VLOOKUP(ТабПозиции[[#This Row],[orderNum]],ТабЗаказы[#Data],MATCH("Percent",ТабЗаказы[#Headers],0),0))/100,200/COUNTIF(ТабПозиции[orderNum],ТабПозиции[[#This Row],[orderNum]])),0),"")</f>
        <v>68</v>
      </c>
      <c r="Q1623">
        <f>IF(OR(ТабПозиции[[#This Row],[item]]="По штрихкоду",ТабПозиции[[#This Row],[item]]="Посылка"),ТабПозиции[[#This Row],[deliverySumm]]+ТабПозиции[[#This Row],[deliveryPost]],SUM(N1623:P1623))</f>
        <v>524</v>
      </c>
      <c r="R1623" s="41">
        <v>524</v>
      </c>
      <c r="S1623" s="46">
        <f>ТабПозиции[[#This Row],[totalSumm]]-ТабПозиции[[#This Row],[payment]]</f>
        <v>0</v>
      </c>
      <c r="T1623" s="18" t="s">
        <v>970</v>
      </c>
      <c r="U1623" s="40" t="s">
        <v>545</v>
      </c>
      <c r="V1623" s="40" t="str">
        <f>IF(AND(ТабПозиции[[#This Row],[Остаток]]=0,ТабПозиции[[#This Row],[Заказан]]="Да"),"Да","Нет")</f>
        <v>Да</v>
      </c>
      <c r="W1623" s="40" t="s">
        <v>490</v>
      </c>
      <c r="X1623" s="3"/>
      <c r="Y1623"/>
    </row>
    <row r="1624" spans="1:25" x14ac:dyDescent="0.25">
      <c r="A1624" s="10">
        <v>428</v>
      </c>
      <c r="B1624" s="1">
        <f>IFERROR(VLOOKUP(ТабПозиции[[#This Row],[orderNum]],ТабЗаказы[#Data],MATCH(B$7,ТабЗаказы[#Headers],0),0),"")</f>
        <v>45667</v>
      </c>
      <c r="C1624" t="str">
        <f>MONTH(ТабПозиции[[#This Row],[date]])&amp;"/"&amp;YEAR(ТабПозиции[[#This Row],[date]])</f>
        <v>1/2025</v>
      </c>
      <c r="D1624" s="1" t="str">
        <f>IFERROR(VLOOKUP(ТабПозиции[[#This Row],[orderNum]],ТабЗаказы[#Data],MATCH(D$7,ТабЗаказы[#Headers],0),0),"")</f>
        <v/>
      </c>
      <c r="E1624" s="1" t="str">
        <f>IFERROR(VLOOKUP(ТабПозиции[[#This Row],[orderNum]],ТабЗаказы[#Data],MATCH(E$7,ТабЗаказы[#Headers],0),0),"")</f>
        <v/>
      </c>
      <c r="F1624" s="58" t="s">
        <v>1704</v>
      </c>
      <c r="G1624" s="40" t="s">
        <v>490</v>
      </c>
      <c r="I1624" s="18">
        <v>45673</v>
      </c>
      <c r="J1624" s="10">
        <v>1</v>
      </c>
      <c r="K1624" s="10">
        <v>295</v>
      </c>
      <c r="L1624">
        <f>ТабПозиции[[#This Row],[discountPrice]]*ТабПозиции[[#This Row],[quantity]]</f>
        <v>295</v>
      </c>
      <c r="M1624" s="10">
        <v>311</v>
      </c>
      <c r="N1624">
        <f t="shared" ref="N1624:N1634" si="31">M1624*J1624</f>
        <v>311</v>
      </c>
      <c r="P162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Row],[orderNum]],ТабПозиции[orderSumm])&gt;1500),ABS(N1624*VLOOKUP(ТабПозиции[[#This Row],[orderNum]],ТабЗаказы[#Data],MATCH("Percent",ТабЗаказы[#Headers],0),0))/100,200/COUNTIF(ТабПозиции[orderNum],ТабПозиции[[#This Row],[orderNum]])),0),"")</f>
        <v>47</v>
      </c>
      <c r="Q1624">
        <f>IF(OR(ТабПозиции[[#This Row],[item]]="По штрихкоду",ТабПозиции[[#This Row],[item]]="Посылка"),ТабПозиции[[#This Row],[deliverySumm]]+ТабПозиции[[#This Row],[deliveryPost]],SUM(N1624:P1624))</f>
        <v>358</v>
      </c>
      <c r="R1624" s="41">
        <v>358</v>
      </c>
      <c r="S1624" s="46">
        <f>ТабПозиции[[#This Row],[totalSumm]]-ТабПозиции[[#This Row],[payment]]</f>
        <v>0</v>
      </c>
      <c r="T1624" s="18" t="s">
        <v>970</v>
      </c>
      <c r="U1624" s="40" t="s">
        <v>545</v>
      </c>
      <c r="V1624" s="40" t="str">
        <f>IF(AND(ТабПозиции[[#This Row],[Остаток]]=0,ТабПозиции[[#This Row],[Заказан]]="Да"),"Да","Нет")</f>
        <v>Да</v>
      </c>
      <c r="W1624" s="40" t="s">
        <v>490</v>
      </c>
      <c r="X1624" s="3"/>
      <c r="Y1624"/>
    </row>
    <row r="1625" spans="1:25" x14ac:dyDescent="0.25">
      <c r="A1625" s="10">
        <v>428</v>
      </c>
      <c r="B1625" s="1">
        <f>IFERROR(VLOOKUP(ТабПозиции[[#This Row],[orderNum]],ТабЗаказы[#Data],MATCH(B$7,ТабЗаказы[#Headers],0),0),"")</f>
        <v>45667</v>
      </c>
      <c r="C1625" t="str">
        <f>MONTH(ТабПозиции[[#This Row],[date]])&amp;"/"&amp;YEAR(ТабПозиции[[#This Row],[date]])</f>
        <v>1/2025</v>
      </c>
      <c r="D1625" s="1" t="str">
        <f>IFERROR(VLOOKUP(ТабПозиции[[#This Row],[orderNum]],ТабЗаказы[#Data],MATCH(D$7,ТабЗаказы[#Headers],0),0),"")</f>
        <v/>
      </c>
      <c r="E1625" s="1" t="str">
        <f>IFERROR(VLOOKUP(ТабПозиции[[#This Row],[orderNum]],ТабЗаказы[#Data],MATCH(E$7,ТабЗаказы[#Headers],0),0),"")</f>
        <v/>
      </c>
      <c r="F1625" s="58" t="s">
        <v>2097</v>
      </c>
      <c r="G1625" s="40" t="s">
        <v>490</v>
      </c>
      <c r="I1625" s="18">
        <v>45670</v>
      </c>
      <c r="J1625" s="10">
        <v>1</v>
      </c>
      <c r="K1625" s="10">
        <v>1237</v>
      </c>
      <c r="L1625">
        <f>ТабПозиции[[#This Row],[discountPrice]]*ТабПозиции[[#This Row],[quantity]]</f>
        <v>1237</v>
      </c>
      <c r="M1625" s="10">
        <v>1303</v>
      </c>
      <c r="N1625">
        <f t="shared" si="31"/>
        <v>1303</v>
      </c>
      <c r="P162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Row],[orderNum]],ТабПозиции[orderSumm])&gt;1500),ABS(N1625*VLOOKUP(ТабПозиции[[#This Row],[orderNum]],ТабЗаказы[#Data],MATCH("Percent",ТабЗаказы[#Headers],0),0))/100,200/COUNTIF(ТабПозиции[orderNum],ТабПозиции[[#This Row],[orderNum]])),0),"")</f>
        <v>195</v>
      </c>
      <c r="Q1625">
        <f>IF(OR(ТабПозиции[[#This Row],[item]]="По штрихкоду",ТабПозиции[[#This Row],[item]]="Посылка"),ТабПозиции[[#This Row],[deliverySumm]]+ТабПозиции[[#This Row],[deliveryPost]],SUM(N1625:P1625))</f>
        <v>1498</v>
      </c>
      <c r="R1625" s="41">
        <v>1498</v>
      </c>
      <c r="S1625" s="46">
        <f>ТабПозиции[[#This Row],[totalSumm]]-ТабПозиции[[#This Row],[payment]]</f>
        <v>0</v>
      </c>
      <c r="T1625" s="18" t="s">
        <v>970</v>
      </c>
      <c r="U1625" s="40" t="s">
        <v>545</v>
      </c>
      <c r="V1625" s="40" t="str">
        <f>IF(AND(ТабПозиции[[#This Row],[Остаток]]=0,ТабПозиции[[#This Row],[Заказан]]="Да"),"Да","Нет")</f>
        <v>Да</v>
      </c>
      <c r="W1625" s="40" t="s">
        <v>490</v>
      </c>
      <c r="X1625" s="3"/>
      <c r="Y1625"/>
    </row>
    <row r="1626" spans="1:25" x14ac:dyDescent="0.25">
      <c r="A1626" s="10">
        <v>430</v>
      </c>
      <c r="B1626" s="1">
        <f>IFERROR(VLOOKUP(ТабПозиции[[#This Row],[orderNum]],ТабЗаказы[#Data],MATCH(B$7,ТабЗаказы[#Headers],0),0),"")</f>
        <v>45669</v>
      </c>
      <c r="C1626" t="str">
        <f>MONTH(ТабПозиции[[#This Row],[date]])&amp;"/"&amp;YEAR(ТабПозиции[[#This Row],[date]])</f>
        <v>1/2025</v>
      </c>
      <c r="D1626" s="1" t="str">
        <f>IFERROR(VLOOKUP(ТабПозиции[[#This Row],[orderNum]],ТабЗаказы[#Data],MATCH(D$7,ТабЗаказы[#Headers],0),0),"")</f>
        <v/>
      </c>
      <c r="E1626" s="1" t="str">
        <f>IFERROR(VLOOKUP(ТабПозиции[[#This Row],[orderNum]],ТабЗаказы[#Data],MATCH(E$7,ТабЗаказы[#Headers],0),0),"")</f>
        <v/>
      </c>
      <c r="F1626" s="58" t="s">
        <v>2161</v>
      </c>
      <c r="G1626" s="40" t="s">
        <v>490</v>
      </c>
      <c r="I1626" s="18">
        <v>45671</v>
      </c>
      <c r="J1626" s="10">
        <v>1</v>
      </c>
      <c r="K1626" s="10">
        <v>720</v>
      </c>
      <c r="L1626">
        <f>ТабПозиции[[#This Row],[discountPrice]]*ТабПозиции[[#This Row],[quantity]]</f>
        <v>720</v>
      </c>
      <c r="M1626" s="10">
        <v>758</v>
      </c>
      <c r="N1626">
        <f t="shared" si="31"/>
        <v>758</v>
      </c>
      <c r="P162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Row],[orderNum]],ТабПозиции[orderSumm])&gt;1500),ABS(N1626*VLOOKUP(ТабПозиции[[#This Row],[orderNum]],ТабЗаказы[#Data],MATCH("Percent",ТабЗаказы[#Headers],0),0))/100,200/COUNTIF(ТабПозиции[orderNum],ТабПозиции[[#This Row],[orderNum]])),0),"")</f>
        <v>114</v>
      </c>
      <c r="Q1626">
        <f>IF(OR(ТабПозиции[[#This Row],[item]]="По штрихкоду",ТабПозиции[[#This Row],[item]]="Посылка"),ТабПозиции[[#This Row],[deliverySumm]]+ТабПозиции[[#This Row],[deliveryPost]],SUM(N1626:P1626))</f>
        <v>872</v>
      </c>
      <c r="R1626" s="41">
        <v>3145</v>
      </c>
      <c r="S1626" s="46">
        <f>ТабПозиции[[#This Row],[totalSumm]]-ТабПозиции[[#This Row],[payment]]</f>
        <v>-2273</v>
      </c>
      <c r="T1626" s="18" t="s">
        <v>970</v>
      </c>
      <c r="U1626" s="40" t="s">
        <v>545</v>
      </c>
      <c r="V1626" s="40" t="str">
        <f>IF(AND(ТабПозиции[[#This Row],[Остаток]]=0,ТабПозиции[[#This Row],[Заказан]]="Да"),"Да","Нет")</f>
        <v>Нет</v>
      </c>
      <c r="W1626" s="40" t="s">
        <v>490</v>
      </c>
      <c r="X1626" s="3"/>
      <c r="Y1626"/>
    </row>
    <row r="1627" spans="1:25" x14ac:dyDescent="0.25">
      <c r="A1627" s="10">
        <v>430</v>
      </c>
      <c r="B1627" s="1">
        <f>IFERROR(VLOOKUP(ТабПозиции[[#This Row],[orderNum]],ТабЗаказы[#Data],MATCH(B$7,ТабЗаказы[#Headers],0),0),"")</f>
        <v>45669</v>
      </c>
      <c r="C1627" t="str">
        <f>MONTH(ТабПозиции[[#This Row],[date]])&amp;"/"&amp;YEAR(ТабПозиции[[#This Row],[date]])</f>
        <v>1/2025</v>
      </c>
      <c r="D1627" s="1" t="str">
        <f>IFERROR(VLOOKUP(ТабПозиции[[#This Row],[orderNum]],ТабЗаказы[#Data],MATCH(D$7,ТабЗаказы[#Headers],0),0),"")</f>
        <v/>
      </c>
      <c r="E1627" s="1" t="str">
        <f>IFERROR(VLOOKUP(ТабПозиции[[#This Row],[orderNum]],ТабЗаказы[#Data],MATCH(E$7,ТабЗаказы[#Headers],0),0),"")</f>
        <v/>
      </c>
      <c r="F1627" s="58" t="s">
        <v>2162</v>
      </c>
      <c r="G1627" s="40" t="s">
        <v>490</v>
      </c>
      <c r="I1627" s="18">
        <v>45672</v>
      </c>
      <c r="J1627" s="10">
        <v>1</v>
      </c>
      <c r="K1627" s="10">
        <v>2156</v>
      </c>
      <c r="L1627">
        <f>ТабПозиции[[#This Row],[discountPrice]]*ТабПозиции[[#This Row],[quantity]]</f>
        <v>2156</v>
      </c>
      <c r="M1627" s="10">
        <v>2270</v>
      </c>
      <c r="N1627">
        <f t="shared" si="31"/>
        <v>2270</v>
      </c>
      <c r="P162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Row],[orderNum]],ТабПозиции[orderSumm])&gt;1500),ABS(N1627*VLOOKUP(ТабПозиции[[#This Row],[orderNum]],ТабЗаказы[#Data],MATCH("Percent",ТабЗаказы[#Headers],0),0))/100,200/COUNTIF(ТабПозиции[orderNum],ТабПозиции[[#This Row],[orderNum]])),0),"")</f>
        <v>341</v>
      </c>
      <c r="Q1627">
        <f>IF(OR(ТабПозиции[[#This Row],[item]]="По штрихкоду",ТабПозиции[[#This Row],[item]]="Посылка"),ТабПозиции[[#This Row],[deliverySumm]]+ТабПозиции[[#This Row],[deliveryPost]],SUM(N1627:P1627))</f>
        <v>2611</v>
      </c>
      <c r="S1627" s="46">
        <f>ТабПозиции[[#This Row],[totalSumm]]-ТабПозиции[[#This Row],[payment]]</f>
        <v>2611</v>
      </c>
      <c r="T1627" s="18" t="s">
        <v>970</v>
      </c>
      <c r="U1627" s="40" t="s">
        <v>545</v>
      </c>
      <c r="V1627" s="40" t="str">
        <f>IF(AND(ТабПозиции[[#This Row],[Остаток]]=0,ТабПозиции[[#This Row],[Заказан]]="Да"),"Да","Нет")</f>
        <v>Нет</v>
      </c>
      <c r="W1627" s="40" t="s">
        <v>490</v>
      </c>
      <c r="X1627" s="3"/>
      <c r="Y1627"/>
    </row>
    <row r="1628" spans="1:25" x14ac:dyDescent="0.25">
      <c r="A1628" s="10">
        <v>430</v>
      </c>
      <c r="B1628" s="1">
        <f>IFERROR(VLOOKUP(ТабПозиции[[#This Row],[orderNum]],ТабЗаказы[#Data],MATCH(B$7,ТабЗаказы[#Headers],0),0),"")</f>
        <v>45669</v>
      </c>
      <c r="C1628" t="str">
        <f>MONTH(ТабПозиции[[#This Row],[date]])&amp;"/"&amp;YEAR(ТабПозиции[[#This Row],[date]])</f>
        <v>1/2025</v>
      </c>
      <c r="D1628" s="1" t="str">
        <f>IFERROR(VLOOKUP(ТабПозиции[[#This Row],[orderNum]],ТабЗаказы[#Data],MATCH(D$7,ТабЗаказы[#Headers],0),0),"")</f>
        <v/>
      </c>
      <c r="E1628" s="1" t="str">
        <f>IFERROR(VLOOKUP(ТабПозиции[[#This Row],[orderNum]],ТабЗаказы[#Data],MATCH(E$7,ТабЗаказы[#Headers],0),0),"")</f>
        <v/>
      </c>
      <c r="F1628" s="58" t="s">
        <v>2163</v>
      </c>
      <c r="G1628" s="40" t="s">
        <v>490</v>
      </c>
      <c r="I1628" s="18">
        <v>45671</v>
      </c>
      <c r="J1628" s="10">
        <v>1</v>
      </c>
      <c r="K1628" s="10">
        <v>562</v>
      </c>
      <c r="L1628">
        <f>ТабПозиции[[#This Row],[discountPrice]]*ТабПозиции[[#This Row],[quantity]]</f>
        <v>562</v>
      </c>
      <c r="M1628" s="10">
        <v>592</v>
      </c>
      <c r="N1628">
        <f t="shared" si="31"/>
        <v>592</v>
      </c>
      <c r="P162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Row],[orderNum]],ТабПозиции[orderSumm])&gt;1500),ABS(N1628*VLOOKUP(ТабПозиции[[#This Row],[orderNum]],ТабЗаказы[#Data],MATCH("Percent",ТабЗаказы[#Headers],0),0))/100,200/COUNTIF(ТабПозиции[orderNum],ТабПозиции[[#This Row],[orderNum]])),0),"")</f>
        <v>89</v>
      </c>
      <c r="Q1628">
        <f>IF(OR(ТабПозиции[[#This Row],[item]]="По штрихкоду",ТабПозиции[[#This Row],[item]]="Посылка"),ТабПозиции[[#This Row],[deliverySumm]]+ТабПозиции[[#This Row],[deliveryPost]],SUM(N1628:P1628))</f>
        <v>681</v>
      </c>
      <c r="S1628" s="46">
        <f>ТабПозиции[[#This Row],[totalSumm]]-ТабПозиции[[#This Row],[payment]]</f>
        <v>681</v>
      </c>
      <c r="T1628" s="18" t="s">
        <v>970</v>
      </c>
      <c r="U1628" s="40" t="s">
        <v>545</v>
      </c>
      <c r="V1628" s="40" t="str">
        <f>IF(AND(ТабПозиции[[#This Row],[Остаток]]=0,ТабПозиции[[#This Row],[Заказан]]="Да"),"Да","Нет")</f>
        <v>Нет</v>
      </c>
      <c r="W1628" s="40" t="s">
        <v>490</v>
      </c>
    </row>
    <row r="1629" spans="1:25" x14ac:dyDescent="0.25">
      <c r="A1629" s="10">
        <v>430</v>
      </c>
      <c r="B1629" s="1">
        <f>IFERROR(VLOOKUP(ТабПозиции[[#This Row],[orderNum]],ТабЗаказы[#Data],MATCH(B$7,ТабЗаказы[#Headers],0),0),"")</f>
        <v>45669</v>
      </c>
      <c r="C1629" t="str">
        <f>MONTH(ТабПозиции[[#This Row],[date]])&amp;"/"&amp;YEAR(ТабПозиции[[#This Row],[date]])</f>
        <v>1/2025</v>
      </c>
      <c r="D1629" s="1" t="str">
        <f>IFERROR(VLOOKUP(ТабПозиции[[#This Row],[orderNum]],ТабЗаказы[#Data],MATCH(D$7,ТабЗаказы[#Headers],0),0),"")</f>
        <v/>
      </c>
      <c r="E1629" s="1" t="str">
        <f>IFERROR(VLOOKUP(ТабПозиции[[#This Row],[orderNum]],ТабЗаказы[#Data],MATCH(E$7,ТабЗаказы[#Headers],0),0),"")</f>
        <v/>
      </c>
      <c r="F1629" s="58" t="s">
        <v>2164</v>
      </c>
      <c r="G1629" s="40" t="s">
        <v>490</v>
      </c>
      <c r="I1629" s="18">
        <v>45673</v>
      </c>
      <c r="J1629" s="10">
        <v>1</v>
      </c>
      <c r="K1629" s="10">
        <v>548</v>
      </c>
      <c r="L1629">
        <f>ТабПозиции[[#This Row],[discountPrice]]*ТабПозиции[[#This Row],[quantity]]</f>
        <v>548</v>
      </c>
      <c r="M1629" s="10">
        <v>577</v>
      </c>
      <c r="N1629">
        <f t="shared" si="31"/>
        <v>577</v>
      </c>
      <c r="P162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Row],[orderNum]],ТабПозиции[orderSumm])&gt;1500),ABS(N1629*VLOOKUP(ТабПозиции[[#This Row],[orderNum]],ТабЗаказы[#Data],MATCH("Percent",ТабЗаказы[#Headers],0),0))/100,200/COUNTIF(ТабПозиции[orderNum],ТабПозиции[[#This Row],[orderNum]])),0),"")</f>
        <v>87</v>
      </c>
      <c r="Q1629">
        <f>IF(OR(ТабПозиции[[#This Row],[item]]="По штрихкоду",ТабПозиции[[#This Row],[item]]="Посылка"),ТабПозиции[[#This Row],[deliverySumm]]+ТабПозиции[[#This Row],[deliveryPost]],SUM(N1629:P1629))</f>
        <v>664</v>
      </c>
      <c r="S1629" s="46">
        <f>ТабПозиции[[#This Row],[totalSumm]]-ТабПозиции[[#This Row],[payment]]</f>
        <v>664</v>
      </c>
      <c r="T1629" s="18" t="s">
        <v>970</v>
      </c>
      <c r="U1629" s="40" t="s">
        <v>545</v>
      </c>
      <c r="V1629" s="40" t="str">
        <f>IF(AND(ТабПозиции[[#This Row],[Остаток]]=0,ТабПозиции[[#This Row],[Заказан]]="Да"),"Да","Нет")</f>
        <v>Нет</v>
      </c>
      <c r="W1629" s="40" t="s">
        <v>490</v>
      </c>
    </row>
    <row r="1630" spans="1:25" x14ac:dyDescent="0.25">
      <c r="A1630" s="10">
        <v>429</v>
      </c>
      <c r="B1630" s="1">
        <f>IFERROR(VLOOKUP(ТабПозиции[[#This Row],[orderNum]],ТабЗаказы[#Data],MATCH(B$7,ТабЗаказы[#Headers],0),0),"")</f>
        <v>45668</v>
      </c>
      <c r="C1630" t="str">
        <f>MONTH(ТабПозиции[[#This Row],[date]])&amp;"/"&amp;YEAR(ТабПозиции[[#This Row],[date]])</f>
        <v>1/2025</v>
      </c>
      <c r="D1630" s="1" t="str">
        <f>IFERROR(VLOOKUP(ТабПозиции[[#This Row],[orderNum]],ТабЗаказы[#Data],MATCH(D$7,ТабЗаказы[#Headers],0),0),"")</f>
        <v/>
      </c>
      <c r="E1630" s="1" t="str">
        <f>IFERROR(VLOOKUP(ТабПозиции[[#This Row],[orderNum]],ТабЗаказы[#Data],MATCH(E$7,ТабЗаказы[#Headers],0),0),"")</f>
        <v/>
      </c>
      <c r="F1630" s="58" t="s">
        <v>2165</v>
      </c>
      <c r="G1630" s="40" t="s">
        <v>490</v>
      </c>
      <c r="I1630" s="18">
        <v>45671</v>
      </c>
      <c r="J1630" s="10">
        <v>1</v>
      </c>
      <c r="K1630" s="10">
        <v>435</v>
      </c>
      <c r="L1630">
        <f>ТабПозиции[[#This Row],[discountPrice]]*ТабПозиции[[#This Row],[quantity]]</f>
        <v>435</v>
      </c>
      <c r="M1630" s="10">
        <v>458</v>
      </c>
      <c r="N1630">
        <f t="shared" si="31"/>
        <v>458</v>
      </c>
      <c r="P163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Row],[orderNum]],ТабПозиции[orderSumm])&gt;1500),ABS(N1630*VLOOKUP(ТабПозиции[[#This Row],[orderNum]],ТабЗаказы[#Data],MATCH("Percent",ТабЗаказы[#Headers],0),0))/100,200/COUNTIF(ТабПозиции[orderNum],ТабПозиции[[#This Row],[orderNum]])),0),"")</f>
        <v>46</v>
      </c>
      <c r="Q1630">
        <f>IF(OR(ТабПозиции[[#This Row],[item]]="По штрихкоду",ТабПозиции[[#This Row],[item]]="Посылка"),ТабПозиции[[#This Row],[deliverySumm]]+ТабПозиции[[#This Row],[deliveryPost]],SUM(N1630:P1630))</f>
        <v>504</v>
      </c>
      <c r="R1630" s="41">
        <v>504</v>
      </c>
      <c r="S1630" s="46">
        <f>ТабПозиции[[#This Row],[totalSumm]]-ТабПозиции[[#This Row],[payment]]</f>
        <v>0</v>
      </c>
      <c r="T1630" s="18" t="s">
        <v>970</v>
      </c>
      <c r="U1630" s="40" t="s">
        <v>545</v>
      </c>
      <c r="V1630" s="40" t="str">
        <f>IF(AND(ТабПозиции[[#This Row],[Остаток]]=0,ТабПозиции[[#This Row],[Заказан]]="Да"),"Да","Нет")</f>
        <v>Да</v>
      </c>
      <c r="W1630" s="40" t="s">
        <v>490</v>
      </c>
    </row>
    <row r="1631" spans="1:25" x14ac:dyDescent="0.25">
      <c r="A1631" s="10">
        <v>429</v>
      </c>
      <c r="B1631" s="1">
        <f>IFERROR(VLOOKUP(ТабПозиции[[#This Row],[orderNum]],ТабЗаказы[#Data],MATCH(B$7,ТабЗаказы[#Headers],0),0),"")</f>
        <v>45668</v>
      </c>
      <c r="C1631" t="str">
        <f>MONTH(ТабПозиции[[#This Row],[date]])&amp;"/"&amp;YEAR(ТабПозиции[[#This Row],[date]])</f>
        <v>1/2025</v>
      </c>
      <c r="D1631" s="1" t="str">
        <f>IFERROR(VLOOKUP(ТабПозиции[[#This Row],[orderNum]],ТабЗаказы[#Data],MATCH(D$7,ТабЗаказы[#Headers],0),0),"")</f>
        <v/>
      </c>
      <c r="E1631" s="1" t="str">
        <f>IFERROR(VLOOKUP(ТабПозиции[[#This Row],[orderNum]],ТабЗаказы[#Data],MATCH(E$7,ТабЗаказы[#Headers],0),0),"")</f>
        <v/>
      </c>
      <c r="F1631" s="58" t="s">
        <v>2166</v>
      </c>
      <c r="G1631" s="40" t="s">
        <v>490</v>
      </c>
      <c r="I1631" s="18">
        <v>45671</v>
      </c>
      <c r="J1631" s="10">
        <v>1</v>
      </c>
      <c r="K1631" s="10">
        <v>988</v>
      </c>
      <c r="L1631">
        <f>ТабПозиции[[#This Row],[discountPrice]]*ТабПозиции[[#This Row],[quantity]]</f>
        <v>988</v>
      </c>
      <c r="M1631" s="10">
        <v>1041</v>
      </c>
      <c r="N1631">
        <f t="shared" si="31"/>
        <v>1041</v>
      </c>
      <c r="P1631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Row],[orderNum]],ТабПозиции[orderSumm])&gt;1500),ABS(N1631*VLOOKUP(ТабПозиции[[#This Row],[orderNum]],ТабЗаказы[#Data],MATCH("Percent",ТабЗаказы[#Headers],0),0))/100,200/COUNTIF(ТабПозиции[orderNum],ТабПозиции[[#This Row],[orderNum]])),0),"")</f>
        <v>104</v>
      </c>
      <c r="Q1631">
        <f>IF(OR(ТабПозиции[[#This Row],[item]]="По штрихкоду",ТабПозиции[[#This Row],[item]]="Посылка"),ТабПозиции[[#This Row],[deliverySumm]]+ТабПозиции[[#This Row],[deliveryPost]],SUM(N1631:P1631))</f>
        <v>1145</v>
      </c>
      <c r="R1631" s="41">
        <v>1145</v>
      </c>
      <c r="S1631" s="46">
        <f>ТабПозиции[[#This Row],[totalSumm]]-ТабПозиции[[#This Row],[payment]]</f>
        <v>0</v>
      </c>
      <c r="T1631" s="18" t="s">
        <v>970</v>
      </c>
      <c r="U1631" s="40" t="s">
        <v>545</v>
      </c>
      <c r="V1631" s="40" t="str">
        <f>IF(AND(ТабПозиции[[#This Row],[Остаток]]=0,ТабПозиции[[#This Row],[Заказан]]="Да"),"Да","Нет")</f>
        <v>Да</v>
      </c>
      <c r="W1631" s="40" t="s">
        <v>490</v>
      </c>
    </row>
    <row r="1632" spans="1:25" x14ac:dyDescent="0.25">
      <c r="A1632" s="10">
        <v>418</v>
      </c>
      <c r="B1632" s="1">
        <f>IFERROR(VLOOKUP(ТабПозиции[[#This Row],[orderNum]],ТабЗаказы[#Data],MATCH(B$7,ТабЗаказы[#Headers],0),0),"")</f>
        <v>45661</v>
      </c>
      <c r="C1632" t="str">
        <f>MONTH(ТабПозиции[[#This Row],[date]])&amp;"/"&amp;YEAR(ТабПозиции[[#This Row],[date]])</f>
        <v>1/2025</v>
      </c>
      <c r="D1632" s="1" t="str">
        <f>IFERROR(VLOOKUP(ТабПозиции[[#This Row],[orderNum]],ТабЗаказы[#Data],MATCH(D$7,ТабЗаказы[#Headers],0),0),"")</f>
        <v/>
      </c>
      <c r="E1632" s="1" t="str">
        <f>IFERROR(VLOOKUP(ТабПозиции[[#This Row],[orderNum]],ТабЗаказы[#Data],MATCH(E$7,ТабЗаказы[#Headers],0),0),"")</f>
        <v/>
      </c>
      <c r="F1632" s="10" t="s">
        <v>2114</v>
      </c>
      <c r="G1632" s="40" t="s">
        <v>490</v>
      </c>
      <c r="I1632" s="18"/>
      <c r="J1632" s="10">
        <v>1</v>
      </c>
      <c r="K1632" s="10">
        <v>3500</v>
      </c>
      <c r="L1632">
        <f>ТабПозиции[[#This Row],[discountPrice]]*ТабПозиции[[#This Row],[quantity]]</f>
        <v>3500</v>
      </c>
      <c r="M1632" s="10">
        <v>3500</v>
      </c>
      <c r="N1632">
        <f t="shared" si="31"/>
        <v>3500</v>
      </c>
      <c r="O1632" s="10">
        <v>2600</v>
      </c>
      <c r="P1632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Row],[orderNum]],ТабПозиции[orderSumm])&gt;1500),ABS(N1632*VLOOKUP(ТабПозиции[[#This Row],[orderNum]],ТабЗаказы[#Data],MATCH("Percent",ТабЗаказы[#Headers],0),0))/100,200/COUNTIF(ТабПозиции[orderNum],ТабПозиции[[#This Row],[orderNum]])),0),"")</f>
        <v>525</v>
      </c>
      <c r="Q1632">
        <f>IF(OR(ТабПозиции[[#This Row],[item]]="По штрихкоду",ТабПозиции[[#This Row],[item]]="Посылка"),ТабПозиции[[#This Row],[deliverySumm]]+ТабПозиции[[#This Row],[deliveryPost]],SUM(N1632:P1632))</f>
        <v>6625</v>
      </c>
      <c r="R1632" s="41">
        <v>6625</v>
      </c>
      <c r="S1632" s="46">
        <f>ТабПозиции[[#This Row],[totalSumm]]-ТабПозиции[[#This Row],[payment]]</f>
        <v>0</v>
      </c>
      <c r="T1632" s="18" t="s">
        <v>2170</v>
      </c>
      <c r="U1632" s="40" t="s">
        <v>545</v>
      </c>
      <c r="V1632" s="40" t="str">
        <f>IF(AND(ТабПозиции[[#This Row],[Остаток]]=0,ТабПозиции[[#This Row],[Заказан]]="Да"),"Да","Нет")</f>
        <v>Да</v>
      </c>
      <c r="W1632" s="40" t="s">
        <v>490</v>
      </c>
    </row>
    <row r="1633" spans="1:23" x14ac:dyDescent="0.25">
      <c r="A1633" s="10">
        <v>431</v>
      </c>
      <c r="B1633" s="1">
        <f>IFERROR(VLOOKUP(ТабПозиции[[#This Row],[orderNum]],ТабЗаказы[#Data],MATCH(B$7,ТабЗаказы[#Headers],0),0),"")</f>
        <v>45671</v>
      </c>
      <c r="C1633" t="str">
        <f>MONTH(ТабПозиции[[#This Row],[date]])&amp;"/"&amp;YEAR(ТабПозиции[[#This Row],[date]])</f>
        <v>1/2025</v>
      </c>
      <c r="D1633" s="1" t="str">
        <f>IFERROR(VLOOKUP(ТабПозиции[[#This Row],[orderNum]],ТабЗаказы[#Data],MATCH(D$7,ТабЗаказы[#Headers],0),0),"")</f>
        <v/>
      </c>
      <c r="E1633" s="1" t="str">
        <f>IFERROR(VLOOKUP(ТабПозиции[[#This Row],[orderNum]],ТабЗаказы[#Data],MATCH(E$7,ТабЗаказы[#Headers],0),0),"")</f>
        <v/>
      </c>
      <c r="F1633" s="58" t="s">
        <v>2167</v>
      </c>
      <c r="G1633" s="40" t="s">
        <v>490</v>
      </c>
      <c r="I1633" s="18">
        <v>45673</v>
      </c>
      <c r="J1633" s="10">
        <v>1</v>
      </c>
      <c r="K1633" s="10">
        <v>865</v>
      </c>
      <c r="L1633">
        <f>ТабПозиции[[#This Row],[discountPrice]]*ТабПозиции[[#This Row],[quantity]]</f>
        <v>865</v>
      </c>
      <c r="M1633" s="10">
        <v>930</v>
      </c>
      <c r="N1633">
        <f t="shared" si="31"/>
        <v>930</v>
      </c>
      <c r="P1633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Row],[orderNum]],ТабПозиции[orderSumm])&gt;1500),ABS(N1633*VLOOKUP(ТабПозиции[[#This Row],[orderNum]],ТабЗаказы[#Data],MATCH("Percent",ТабЗаказы[#Headers],0),0))/100,200/COUNTIF(ТабПозиции[orderNum],ТабПозиции[[#This Row],[orderNum]])),0),"")</f>
        <v>140</v>
      </c>
      <c r="Q1633">
        <f>IF(OR(ТабПозиции[[#This Row],[item]]="По штрихкоду",ТабПозиции[[#This Row],[item]]="Посылка"),ТабПозиции[[#This Row],[deliverySumm]]+ТабПозиции[[#This Row],[deliveryPost]],SUM(N1633:P1633))</f>
        <v>1070</v>
      </c>
      <c r="R1633" s="41">
        <v>1070</v>
      </c>
      <c r="S1633" s="46">
        <f>ТабПозиции[[#This Row],[totalSumm]]-ТабПозиции[[#This Row],[payment]]</f>
        <v>0</v>
      </c>
      <c r="T1633" s="18" t="s">
        <v>960</v>
      </c>
      <c r="U1633" s="40" t="s">
        <v>545</v>
      </c>
      <c r="V1633" s="40" t="str">
        <f>IF(AND(ТабПозиции[[#This Row],[Остаток]]=0,ТабПозиции[[#This Row],[Заказан]]="Да"),"Да","Нет")</f>
        <v>Да</v>
      </c>
      <c r="W1633" s="40" t="s">
        <v>490</v>
      </c>
    </row>
    <row r="1634" spans="1:23" x14ac:dyDescent="0.25">
      <c r="A1634" s="10">
        <v>431</v>
      </c>
      <c r="B1634" s="1">
        <f>IFERROR(VLOOKUP(ТабПозиции[[#This Row],[orderNum]],ТабЗаказы[#Data],MATCH(B$7,ТабЗаказы[#Headers],0),0),"")</f>
        <v>45671</v>
      </c>
      <c r="C1634" t="str">
        <f>MONTH(ТабПозиции[[#This Row],[date]])&amp;"/"&amp;YEAR(ТабПозиции[[#This Row],[date]])</f>
        <v>1/2025</v>
      </c>
      <c r="D1634" s="1" t="str">
        <f>IFERROR(VLOOKUP(ТабПозиции[[#This Row],[orderNum]],ТабЗаказы[#Data],MATCH(D$7,ТабЗаказы[#Headers],0),0),"")</f>
        <v/>
      </c>
      <c r="E1634" s="1" t="str">
        <f>IFERROR(VLOOKUP(ТабПозиции[[#This Row],[orderNum]],ТабЗаказы[#Data],MATCH(E$7,ТабЗаказы[#Headers],0),0),"")</f>
        <v/>
      </c>
      <c r="F1634" s="58" t="s">
        <v>2168</v>
      </c>
      <c r="G1634" s="40" t="s">
        <v>490</v>
      </c>
      <c r="I1634" s="18">
        <v>45672</v>
      </c>
      <c r="J1634" s="10">
        <v>1</v>
      </c>
      <c r="K1634" s="10">
        <v>569</v>
      </c>
      <c r="L1634">
        <f>ТабПозиции[[#This Row],[discountPrice]]*ТабПозиции[[#This Row],[quantity]]</f>
        <v>569</v>
      </c>
      <c r="M1634" s="10">
        <v>611</v>
      </c>
      <c r="N1634">
        <f t="shared" si="31"/>
        <v>611</v>
      </c>
      <c r="P1634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Row],[orderNum]],ТабПозиции[orderSumm])&gt;1500),ABS(N1634*VLOOKUP(ТабПозиции[[#This Row],[orderNum]],ТабЗаказы[#Data],MATCH("Percent",ТабЗаказы[#Headers],0),0))/100,200/COUNTIF(ТабПозиции[orderNum],ТабПозиции[[#This Row],[orderNum]])),0),"")</f>
        <v>92</v>
      </c>
      <c r="Q1634">
        <f>IF(OR(ТабПозиции[[#This Row],[item]]="По штрихкоду",ТабПозиции[[#This Row],[item]]="Посылка"),ТабПозиции[[#This Row],[deliverySumm]]+ТабПозиции[[#This Row],[deliveryPost]],SUM(N1634:P1634))</f>
        <v>703</v>
      </c>
      <c r="R1634" s="41">
        <v>703</v>
      </c>
      <c r="S1634" s="46">
        <f>ТабПозиции[[#This Row],[totalSumm]]-ТабПозиции[[#This Row],[payment]]</f>
        <v>0</v>
      </c>
      <c r="T1634" s="18" t="s">
        <v>960</v>
      </c>
      <c r="U1634" s="40" t="s">
        <v>545</v>
      </c>
      <c r="V1634" s="40" t="str">
        <f>IF(AND(ТабПозиции[[#This Row],[Остаток]]=0,ТабПозиции[[#This Row],[Заказан]]="Да"),"Да","Нет")</f>
        <v>Да</v>
      </c>
      <c r="W1634" s="40" t="s">
        <v>490</v>
      </c>
    </row>
    <row r="1635" spans="1:23" x14ac:dyDescent="0.25">
      <c r="A1635" s="10">
        <v>431</v>
      </c>
      <c r="B1635" s="1">
        <f>IFERROR(VLOOKUP(ТабПозиции[[#This Row],[orderNum]],ТабЗаказы[#Data],MATCH(B$7,ТабЗаказы[#Headers],0),0),"")</f>
        <v>45671</v>
      </c>
      <c r="C1635" t="str">
        <f>MONTH(ТабПозиции[[#This Row],[date]])&amp;"/"&amp;YEAR(ТабПозиции[[#This Row],[date]])</f>
        <v>1/2025</v>
      </c>
      <c r="D1635" s="1" t="str">
        <f>IFERROR(VLOOKUP(ТабПозиции[[#This Row],[orderNum]],ТабЗаказы[#Data],MATCH(D$7,ТабЗаказы[#Headers],0),0),"")</f>
        <v/>
      </c>
      <c r="E1635" s="1" t="str">
        <f>IFERROR(VLOOKUP(ТабПозиции[[#This Row],[orderNum]],ТабЗаказы[#Data],MATCH(E$7,ТабЗаказы[#Headers],0),0),"")</f>
        <v/>
      </c>
      <c r="F1635" s="58" t="s">
        <v>2168</v>
      </c>
      <c r="G1635" s="40" t="s">
        <v>490</v>
      </c>
      <c r="I1635" s="18">
        <v>45673</v>
      </c>
      <c r="J1635" s="10">
        <v>1</v>
      </c>
      <c r="K1635" s="10">
        <v>580</v>
      </c>
      <c r="L1635">
        <f>ТабПозиции[[#This Row],[discountPrice]]*ТабПозиции[[#This Row],[quantity]]</f>
        <v>580</v>
      </c>
      <c r="M1635" s="10">
        <v>623</v>
      </c>
      <c r="N1635">
        <f t="shared" ref="N1635:N1645" si="32">M1635*J1635</f>
        <v>623</v>
      </c>
      <c r="P1635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Row],[orderNum]],ТабПозиции[orderSumm])&gt;1500),ABS(N1635*VLOOKUP(ТабПозиции[[#This Row],[orderNum]],ТабЗаказы[#Data],MATCH("Percent",ТабЗаказы[#Headers],0),0))/100,200/COUNTIF(ТабПозиции[orderNum],ТабПозиции[[#This Row],[orderNum]])),0),"")</f>
        <v>93</v>
      </c>
      <c r="Q1635">
        <f>IF(OR(ТабПозиции[[#This Row],[item]]="По штрихкоду",ТабПозиции[[#This Row],[item]]="Посылка"),ТабПозиции[[#This Row],[deliverySumm]]+ТабПозиции[[#This Row],[deliveryPost]],SUM(N1635:P1635))</f>
        <v>716</v>
      </c>
      <c r="R1635" s="41">
        <v>716</v>
      </c>
      <c r="S1635" s="46">
        <f>ТабПозиции[[#This Row],[totalSumm]]-ТабПозиции[[#This Row],[payment]]</f>
        <v>0</v>
      </c>
      <c r="T1635" s="18" t="s">
        <v>960</v>
      </c>
      <c r="U1635" s="40" t="s">
        <v>545</v>
      </c>
      <c r="V1635" s="40" t="str">
        <f>IF(AND(ТабПозиции[[#This Row],[Остаток]]=0,ТабПозиции[[#This Row],[Заказан]]="Да"),"Да","Нет")</f>
        <v>Да</v>
      </c>
      <c r="W1635" s="40" t="s">
        <v>490</v>
      </c>
    </row>
    <row r="1636" spans="1:23" x14ac:dyDescent="0.25">
      <c r="A1636" s="10">
        <v>432</v>
      </c>
      <c r="B1636" s="1">
        <f>IFERROR(VLOOKUP(ТабПозиции[[#This Row],[orderNum]],ТабЗаказы[#Data],MATCH(B$7,ТабЗаказы[#Headers],0),0),"")</f>
        <v>45671</v>
      </c>
      <c r="C1636" t="str">
        <f>MONTH(ТабПозиции[[#This Row],[date]])&amp;"/"&amp;YEAR(ТабПозиции[[#This Row],[date]])</f>
        <v>1/2025</v>
      </c>
      <c r="D1636" s="1" t="str">
        <f>IFERROR(VLOOKUP(ТабПозиции[[#This Row],[orderNum]],ТабЗаказы[#Data],MATCH(D$7,ТабЗаказы[#Headers],0),0),"")</f>
        <v/>
      </c>
      <c r="E1636" s="1" t="str">
        <f>IFERROR(VLOOKUP(ТабПозиции[[#This Row],[orderNum]],ТабЗаказы[#Data],MATCH(E$7,ТабЗаказы[#Headers],0),0),"")</f>
        <v/>
      </c>
      <c r="F1636" s="58" t="s">
        <v>2169</v>
      </c>
      <c r="G1636" s="40" t="s">
        <v>490</v>
      </c>
      <c r="I1636" s="18">
        <v>45673</v>
      </c>
      <c r="J1636" s="10">
        <v>1</v>
      </c>
      <c r="K1636" s="10">
        <v>2476</v>
      </c>
      <c r="L1636">
        <f>ТабПозиции[[#This Row],[discountPrice]]*ТабПозиции[[#This Row],[quantity]]</f>
        <v>2476</v>
      </c>
      <c r="M1636" s="10">
        <v>2607</v>
      </c>
      <c r="N1636">
        <f t="shared" si="32"/>
        <v>2607</v>
      </c>
      <c r="P1636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Row],[orderNum]],ТабПозиции[orderSumm])&gt;1500),ABS(N1636*VLOOKUP(ТабПозиции[[#This Row],[orderNum]],ТабЗаказы[#Data],MATCH("Percent",ТабЗаказы[#Headers],0),0))/100,200/COUNTIF(ТабПозиции[orderNum],ТабПозиции[[#This Row],[orderNum]])),0),"")</f>
        <v>391</v>
      </c>
      <c r="Q1636">
        <f>IF(OR(ТабПозиции[[#This Row],[item]]="По штрихкоду",ТабПозиции[[#This Row],[item]]="Посылка"),ТабПозиции[[#This Row],[deliverySumm]]+ТабПозиции[[#This Row],[deliveryPost]],SUM(N1636:P1636))</f>
        <v>2998</v>
      </c>
      <c r="R1636" s="41">
        <v>2998</v>
      </c>
      <c r="S1636" s="46">
        <f>ТабПозиции[[#This Row],[totalSumm]]-ТабПозиции[[#This Row],[payment]]</f>
        <v>0</v>
      </c>
      <c r="T1636" s="18" t="s">
        <v>970</v>
      </c>
      <c r="U1636" s="40" t="s">
        <v>545</v>
      </c>
      <c r="V1636" s="40" t="str">
        <f>IF(AND(ТабПозиции[[#This Row],[Остаток]]=0,ТабПозиции[[#This Row],[Заказан]]="Да"),"Да","Нет")</f>
        <v>Да</v>
      </c>
      <c r="W1636" s="40" t="s">
        <v>490</v>
      </c>
    </row>
    <row r="1637" spans="1:23" x14ac:dyDescent="0.25">
      <c r="A1637" s="10">
        <v>432</v>
      </c>
      <c r="B1637" s="1">
        <f>IFERROR(VLOOKUP(ТабПозиции[[#This Row],[orderNum]],ТабЗаказы[#Data],MATCH(B$7,ТабЗаказы[#Headers],0),0),"")</f>
        <v>45671</v>
      </c>
      <c r="C1637" t="str">
        <f>MONTH(ТабПозиции[[#This Row],[date]])&amp;"/"&amp;YEAR(ТабПозиции[[#This Row],[date]])</f>
        <v>1/2025</v>
      </c>
      <c r="D1637" s="1" t="str">
        <f>IFERROR(VLOOKUP(ТабПозиции[[#This Row],[orderNum]],ТабЗаказы[#Data],MATCH(D$7,ТабЗаказы[#Headers],0),0),"")</f>
        <v/>
      </c>
      <c r="E1637" s="1" t="str">
        <f>IFERROR(VLOOKUP(ТабПозиции[[#This Row],[orderNum]],ТабЗаказы[#Data],MATCH(E$7,ТабЗаказы[#Headers],0),0),"")</f>
        <v/>
      </c>
      <c r="F1637" s="58" t="s">
        <v>1438</v>
      </c>
      <c r="G1637" s="40" t="s">
        <v>490</v>
      </c>
      <c r="I1637" s="18">
        <v>45673</v>
      </c>
      <c r="J1637" s="10">
        <v>1</v>
      </c>
      <c r="K1637" s="10">
        <v>1083</v>
      </c>
      <c r="L1637">
        <f>ТабПозиции[[#This Row],[discountPrice]]*ТабПозиции[[#This Row],[quantity]]</f>
        <v>1083</v>
      </c>
      <c r="M1637" s="10">
        <v>1140</v>
      </c>
      <c r="N1637">
        <f t="shared" si="32"/>
        <v>1140</v>
      </c>
      <c r="P1637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Row],[orderNum]],ТабПозиции[orderSumm])&gt;1500),ABS(N1637*VLOOKUP(ТабПозиции[[#This Row],[orderNum]],ТабЗаказы[#Data],MATCH("Percent",ТабЗаказы[#Headers],0),0))/100,200/COUNTIF(ТабПозиции[orderNum],ТабПозиции[[#This Row],[orderNum]])),0),"")</f>
        <v>171</v>
      </c>
      <c r="Q1637">
        <f>IF(OR(ТабПозиции[[#This Row],[item]]="По штрихкоду",ТабПозиции[[#This Row],[item]]="Посылка"),ТабПозиции[[#This Row],[deliverySumm]]+ТабПозиции[[#This Row],[deliveryPost]],SUM(N1637:P1637))</f>
        <v>1311</v>
      </c>
      <c r="R1637" s="41">
        <v>1311</v>
      </c>
      <c r="S1637" s="46">
        <f>ТабПозиции[[#This Row],[totalSumm]]-ТабПозиции[[#This Row],[payment]]</f>
        <v>0</v>
      </c>
      <c r="T1637" s="18" t="s">
        <v>970</v>
      </c>
      <c r="U1637" s="40" t="s">
        <v>545</v>
      </c>
      <c r="V1637" s="40" t="str">
        <f>IF(AND(ТабПозиции[[#This Row],[Остаток]]=0,ТабПозиции[[#This Row],[Заказан]]="Да"),"Да","Нет")</f>
        <v>Да</v>
      </c>
      <c r="W1637" s="40" t="s">
        <v>490</v>
      </c>
    </row>
    <row r="1638" spans="1:23" x14ac:dyDescent="0.25">
      <c r="A1638" s="10">
        <v>432</v>
      </c>
      <c r="B1638" s="1">
        <f>IFERROR(VLOOKUP(ТабПозиции[[#This Row],[orderNum]],ТабЗаказы[#Data],MATCH(B$7,ТабЗаказы[#Headers],0),0),"")</f>
        <v>45671</v>
      </c>
      <c r="C1638" t="str">
        <f>MONTH(ТабПозиции[[#This Row],[date]])&amp;"/"&amp;YEAR(ТабПозиции[[#This Row],[date]])</f>
        <v>1/2025</v>
      </c>
      <c r="D1638" s="1" t="str">
        <f>IFERROR(VLOOKUP(ТабПозиции[[#This Row],[orderNum]],ТабЗаказы[#Data],MATCH(D$7,ТабЗаказы[#Headers],0),0),"")</f>
        <v/>
      </c>
      <c r="E1638" s="1" t="str">
        <f>IFERROR(VLOOKUP(ТабПозиции[[#This Row],[orderNum]],ТабЗаказы[#Data],MATCH(E$7,ТабЗаказы[#Headers],0),0),"")</f>
        <v/>
      </c>
      <c r="F1638" s="58" t="s">
        <v>2171</v>
      </c>
      <c r="G1638" s="40" t="s">
        <v>490</v>
      </c>
      <c r="I1638" s="18">
        <v>45673</v>
      </c>
      <c r="J1638" s="10">
        <v>1</v>
      </c>
      <c r="K1638" s="10">
        <v>487</v>
      </c>
      <c r="L1638">
        <f>ТабПозиции[[#This Row],[discountPrice]]*ТабПозиции[[#This Row],[quantity]]</f>
        <v>487</v>
      </c>
      <c r="M1638" s="10">
        <v>513</v>
      </c>
      <c r="N1638">
        <f t="shared" si="32"/>
        <v>513</v>
      </c>
      <c r="P1638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Row],[orderNum]],ТабПозиции[orderSumm])&gt;1500),ABS(N1638*VLOOKUP(ТабПозиции[[#This Row],[orderNum]],ТабЗаказы[#Data],MATCH("Percent",ТабЗаказы[#Headers],0),0))/100,200/COUNTIF(ТабПозиции[orderNum],ТабПозиции[[#This Row],[orderNum]])),0),"")</f>
        <v>77</v>
      </c>
      <c r="Q1638">
        <f>IF(OR(ТабПозиции[[#This Row],[item]]="По штрихкоду",ТабПозиции[[#This Row],[item]]="Посылка"),ТабПозиции[[#This Row],[deliverySumm]]+ТабПозиции[[#This Row],[deliveryPost]],SUM(N1638:P1638))</f>
        <v>590</v>
      </c>
      <c r="R1638" s="41">
        <v>590</v>
      </c>
      <c r="S1638" s="46">
        <f>ТабПозиции[[#This Row],[totalSumm]]-ТабПозиции[[#This Row],[payment]]</f>
        <v>0</v>
      </c>
      <c r="T1638" s="18" t="s">
        <v>970</v>
      </c>
      <c r="U1638" s="40" t="s">
        <v>545</v>
      </c>
      <c r="V1638" s="40" t="str">
        <f>IF(AND(ТабПозиции[[#This Row],[Остаток]]=0,ТабПозиции[[#This Row],[Заказан]]="Да"),"Да","Нет")</f>
        <v>Да</v>
      </c>
      <c r="W1638" s="40" t="s">
        <v>490</v>
      </c>
    </row>
    <row r="1639" spans="1:23" x14ac:dyDescent="0.25">
      <c r="A1639" s="10">
        <v>432</v>
      </c>
      <c r="B1639" s="1">
        <f>IFERROR(VLOOKUP(ТабПозиции[[#This Row],[orderNum]],ТабЗаказы[#Data],MATCH(B$7,ТабЗаказы[#Headers],0),0),"")</f>
        <v>45671</v>
      </c>
      <c r="C1639" t="str">
        <f>MONTH(ТабПозиции[[#This Row],[date]])&amp;"/"&amp;YEAR(ТабПозиции[[#This Row],[date]])</f>
        <v>1/2025</v>
      </c>
      <c r="D1639" s="1" t="str">
        <f>IFERROR(VLOOKUP(ТабПозиции[[#This Row],[orderNum]],ТабЗаказы[#Data],MATCH(D$7,ТабЗаказы[#Headers],0),0),"")</f>
        <v/>
      </c>
      <c r="E1639" s="1" t="str">
        <f>IFERROR(VLOOKUP(ТабПозиции[[#This Row],[orderNum]],ТабЗаказы[#Data],MATCH(E$7,ТабЗаказы[#Headers],0),0),"")</f>
        <v/>
      </c>
      <c r="F1639" s="58" t="s">
        <v>1379</v>
      </c>
      <c r="G1639" s="40" t="s">
        <v>490</v>
      </c>
      <c r="I1639" s="18">
        <v>45673</v>
      </c>
      <c r="J1639" s="10">
        <v>1</v>
      </c>
      <c r="K1639" s="10">
        <v>1323</v>
      </c>
      <c r="L1639">
        <f>ТабПозиции[[#This Row],[discountPrice]]*ТабПозиции[[#This Row],[quantity]]</f>
        <v>1323</v>
      </c>
      <c r="M1639" s="10">
        <v>1393</v>
      </c>
      <c r="N1639">
        <f t="shared" si="32"/>
        <v>1393</v>
      </c>
      <c r="P1639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Row],[orderNum]],ТабПозиции[orderSumm])&gt;1500),ABS(N1639*VLOOKUP(ТабПозиции[[#This Row],[orderNum]],ТабЗаказы[#Data],MATCH("Percent",ТабЗаказы[#Headers],0),0))/100,200/COUNTIF(ТабПозиции[orderNum],ТабПозиции[[#This Row],[orderNum]])),0),"")</f>
        <v>209</v>
      </c>
      <c r="Q1639">
        <f>IF(OR(ТабПозиции[[#This Row],[item]]="По штрихкоду",ТабПозиции[[#This Row],[item]]="Посылка"),ТабПозиции[[#This Row],[deliverySumm]]+ТабПозиции[[#This Row],[deliveryPost]],SUM(N1639:P1639))</f>
        <v>1602</v>
      </c>
      <c r="R1639" s="41">
        <v>1602</v>
      </c>
      <c r="S1639" s="46">
        <f>ТабПозиции[[#This Row],[totalSumm]]-ТабПозиции[[#This Row],[payment]]</f>
        <v>0</v>
      </c>
      <c r="T1639" s="18" t="s">
        <v>970</v>
      </c>
      <c r="U1639" s="40" t="s">
        <v>545</v>
      </c>
      <c r="V1639" s="40" t="str">
        <f>IF(AND(ТабПозиции[[#This Row],[Остаток]]=0,ТабПозиции[[#This Row],[Заказан]]="Да"),"Да","Нет")</f>
        <v>Да</v>
      </c>
      <c r="W1639" s="40" t="s">
        <v>490</v>
      </c>
    </row>
    <row r="1640" spans="1:23" x14ac:dyDescent="0.25">
      <c r="A1640" s="10">
        <v>432</v>
      </c>
      <c r="B1640" s="1">
        <f>IFERROR(VLOOKUP(ТабПозиции[[#This Row],[orderNum]],ТабЗаказы[#Data],MATCH(B$7,ТабЗаказы[#Headers],0),0),"")</f>
        <v>45671</v>
      </c>
      <c r="C1640" t="str">
        <f>MONTH(ТабПозиции[[#This Row],[date]])&amp;"/"&amp;YEAR(ТабПозиции[[#This Row],[date]])</f>
        <v>1/2025</v>
      </c>
      <c r="D1640" s="1" t="str">
        <f>IFERROR(VLOOKUP(ТабПозиции[[#This Row],[orderNum]],ТабЗаказы[#Data],MATCH(D$7,ТабЗаказы[#Headers],0),0),"")</f>
        <v/>
      </c>
      <c r="E1640" s="1" t="str">
        <f>IFERROR(VLOOKUP(ТабПозиции[[#This Row],[orderNum]],ТабЗаказы[#Data],MATCH(E$7,ТабЗаказы[#Headers],0),0),"")</f>
        <v/>
      </c>
      <c r="F1640" s="58" t="s">
        <v>1508</v>
      </c>
      <c r="G1640" s="40" t="s">
        <v>490</v>
      </c>
      <c r="I1640" s="18">
        <v>45673</v>
      </c>
      <c r="J1640" s="10">
        <v>1</v>
      </c>
      <c r="K1640" s="10">
        <v>338</v>
      </c>
      <c r="L1640">
        <f>ТабПозиции[[#This Row],[discountPrice]]*ТабПозиции[[#This Row],[quantity]]</f>
        <v>338</v>
      </c>
      <c r="M1640" s="10">
        <v>356</v>
      </c>
      <c r="N1640">
        <f t="shared" si="32"/>
        <v>356</v>
      </c>
      <c r="P1640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Row],[orderNum]],ТабПозиции[orderSumm])&gt;1500),ABS(N1640*VLOOKUP(ТабПозиции[[#This Row],[orderNum]],ТабЗаказы[#Data],MATCH("Percent",ТабЗаказы[#Headers],0),0))/100,200/COUNTIF(ТабПозиции[orderNum],ТабПозиции[[#This Row],[orderNum]])),0),"")</f>
        <v>53</v>
      </c>
      <c r="Q1640">
        <f>IF(OR(ТабПозиции[[#This Row],[item]]="По штрихкоду",ТабПозиции[[#This Row],[item]]="Посылка"),ТабПозиции[[#This Row],[deliverySumm]]+ТабПозиции[[#This Row],[deliveryPost]],SUM(N1640:P1640))</f>
        <v>409</v>
      </c>
      <c r="R1640" s="41">
        <v>409</v>
      </c>
      <c r="S1640" s="46">
        <f>ТабПозиции[[#This Row],[totalSumm]]-ТабПозиции[[#This Row],[payment]]</f>
        <v>0</v>
      </c>
      <c r="T1640" s="18" t="s">
        <v>970</v>
      </c>
      <c r="U1640" s="40" t="s">
        <v>545</v>
      </c>
      <c r="V1640" s="40" t="str">
        <f>IF(AND(ТабПозиции[[#This Row],[Остаток]]=0,ТабПозиции[[#This Row],[Заказан]]="Да"),"Да","Нет")</f>
        <v>Да</v>
      </c>
      <c r="W1640" s="40" t="s">
        <v>490</v>
      </c>
    </row>
    <row r="1641" spans="1:23" x14ac:dyDescent="0.25">
      <c r="B1641" s="1" t="str">
        <f>IFERROR(VLOOKUP(ТабПозиции[[#This Row],[orderNum]],ТабЗаказы[#Data],MATCH(B$7,ТабЗаказы[#Headers],0),0),"")</f>
        <v/>
      </c>
      <c r="C1641" t="e">
        <f>MONTH(ТабПозиции[[#This Row],[date]])&amp;"/"&amp;YEAR(ТабПозиции[[#This Row],[date]])</f>
        <v>#VALUE!</v>
      </c>
      <c r="D1641" s="1" t="str">
        <f>IFERROR(VLOOKUP(ТабПозиции[[#This Row],[orderNum]],ТабЗаказы[#Data],MATCH(D$7,ТабЗаказы[#Headers],0),0),"")</f>
        <v/>
      </c>
      <c r="E1641" s="1" t="str">
        <f>IFERROR(VLOOKUP(ТабПозиции[[#This Row],[orderNum]],ТабЗаказы[#Data],MATCH(E$7,ТабЗаказы[#Headers],0),0),"")</f>
        <v/>
      </c>
      <c r="G1641" s="40" t="s">
        <v>490</v>
      </c>
      <c r="I1641" s="18"/>
      <c r="L1641">
        <f>ТабПозиции[[#This Row],[discountPrice]]*ТабПозиции[[#This Row],[quantity]]</f>
        <v>0</v>
      </c>
      <c r="N1641">
        <f t="shared" si="32"/>
        <v>0</v>
      </c>
      <c r="P1641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Row],[orderNum]],ТабПозиции[orderSumm])&gt;1500),ABS(N1641*VLOOKUP(ТабПозиции[[#This Row],[orderNum]],ТабЗаказы[#Data],MATCH("Percent",ТабЗаказы[#Headers],0),0))/100,200/COUNTIF(ТабПозиции[orderNum],ТабПозиции[[#This Row],[orderNum]])),0),"")</f>
        <v/>
      </c>
      <c r="Q1641">
        <f>IF(OR(ТабПозиции[[#This Row],[item]]="По штрихкоду",ТабПозиции[[#This Row],[item]]="Посылка"),ТабПозиции[[#This Row],[deliverySumm]]+ТабПозиции[[#This Row],[deliveryPost]],SUM(N1641:P1641))</f>
        <v>0</v>
      </c>
      <c r="S1641" s="46">
        <f>ТабПозиции[[#This Row],[totalSumm]]-ТабПозиции[[#This Row],[payment]]</f>
        <v>0</v>
      </c>
      <c r="T1641" s="18"/>
      <c r="U1641" s="40" t="s">
        <v>490</v>
      </c>
      <c r="V1641" s="40" t="str">
        <f>IF(AND(ТабПозиции[[#This Row],[Остаток]]=0,ТабПозиции[[#This Row],[Заказан]]="Да"),"Да","Нет")</f>
        <v>Нет</v>
      </c>
      <c r="W1641" s="40" t="s">
        <v>490</v>
      </c>
    </row>
    <row r="1642" spans="1:23" x14ac:dyDescent="0.25">
      <c r="B1642" s="1" t="str">
        <f>IFERROR(VLOOKUP(ТабПозиции[[#This Row],[orderNum]],ТабЗаказы[#Data],MATCH(B$7,ТабЗаказы[#Headers],0),0),"")</f>
        <v/>
      </c>
      <c r="C1642" t="e">
        <f>MONTH(ТабПозиции[[#This Row],[date]])&amp;"/"&amp;YEAR(ТабПозиции[[#This Row],[date]])</f>
        <v>#VALUE!</v>
      </c>
      <c r="D1642" s="1" t="str">
        <f>IFERROR(VLOOKUP(ТабПозиции[[#This Row],[orderNum]],ТабЗаказы[#Data],MATCH(D$7,ТабЗаказы[#Headers],0),0),"")</f>
        <v/>
      </c>
      <c r="E1642" s="1" t="str">
        <f>IFERROR(VLOOKUP(ТабПозиции[[#This Row],[orderNum]],ТабЗаказы[#Data],MATCH(E$7,ТабЗаказы[#Headers],0),0),"")</f>
        <v/>
      </c>
      <c r="G1642" s="40" t="s">
        <v>490</v>
      </c>
      <c r="I1642" s="18"/>
      <c r="L1642">
        <f>ТабПозиции[[#This Row],[discountPrice]]*ТабПозиции[[#This Row],[quantity]]</f>
        <v>0</v>
      </c>
      <c r="N1642">
        <f t="shared" si="32"/>
        <v>0</v>
      </c>
      <c r="P1642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Row],[orderNum]],ТабПозиции[orderSumm])&gt;1500),ABS(N1642*VLOOKUP(ТабПозиции[[#This Row],[orderNum]],ТабЗаказы[#Data],MATCH("Percent",ТабЗаказы[#Headers],0),0))/100,200/COUNTIF(ТабПозиции[orderNum],ТабПозиции[[#This Row],[orderNum]])),0),"")</f>
        <v/>
      </c>
      <c r="Q1642">
        <f>IF(OR(ТабПозиции[[#This Row],[item]]="По штрихкоду",ТабПозиции[[#This Row],[item]]="Посылка"),ТабПозиции[[#This Row],[deliverySumm]]+ТабПозиции[[#This Row],[deliveryPost]],SUM(N1642:P1642))</f>
        <v>0</v>
      </c>
      <c r="S1642" s="46">
        <f>ТабПозиции[[#This Row],[totalSumm]]-ТабПозиции[[#This Row],[payment]]</f>
        <v>0</v>
      </c>
      <c r="T1642" s="18"/>
      <c r="U1642" s="40" t="s">
        <v>490</v>
      </c>
      <c r="V1642" s="40" t="str">
        <f>IF(AND(ТабПозиции[[#This Row],[Остаток]]=0,ТабПозиции[[#This Row],[Заказан]]="Да"),"Да","Нет")</f>
        <v>Нет</v>
      </c>
      <c r="W1642" s="40" t="s">
        <v>490</v>
      </c>
    </row>
    <row r="1643" spans="1:23" x14ac:dyDescent="0.25">
      <c r="B1643" s="1" t="str">
        <f>IFERROR(VLOOKUP(ТабПозиции[[#This Row],[orderNum]],ТабЗаказы[#Data],MATCH(B$7,ТабЗаказы[#Headers],0),0),"")</f>
        <v/>
      </c>
      <c r="C1643" t="e">
        <f>MONTH(ТабПозиции[[#This Row],[date]])&amp;"/"&amp;YEAR(ТабПозиции[[#This Row],[date]])</f>
        <v>#VALUE!</v>
      </c>
      <c r="D1643" s="1" t="str">
        <f>IFERROR(VLOOKUP(ТабПозиции[[#This Row],[orderNum]],ТабЗаказы[#Data],MATCH(D$7,ТабЗаказы[#Headers],0),0),"")</f>
        <v/>
      </c>
      <c r="E1643" s="1" t="str">
        <f>IFERROR(VLOOKUP(ТабПозиции[[#This Row],[orderNum]],ТабЗаказы[#Data],MATCH(E$7,ТабЗаказы[#Headers],0),0),"")</f>
        <v/>
      </c>
      <c r="G1643" s="40" t="s">
        <v>490</v>
      </c>
      <c r="I1643" s="18"/>
      <c r="L1643">
        <f>ТабПозиции[[#This Row],[discountPrice]]*ТабПозиции[[#This Row],[quantity]]</f>
        <v>0</v>
      </c>
      <c r="N1643">
        <f t="shared" si="32"/>
        <v>0</v>
      </c>
      <c r="P1643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Row],[orderNum]],ТабПозиции[orderSumm])&gt;1500),ABS(N1643*VLOOKUP(ТабПозиции[[#This Row],[orderNum]],ТабЗаказы[#Data],MATCH("Percent",ТабЗаказы[#Headers],0),0))/100,200/COUNTIF(ТабПозиции[orderNum],ТабПозиции[[#This Row],[orderNum]])),0),"")</f>
        <v/>
      </c>
      <c r="Q1643">
        <f>IF(OR(ТабПозиции[[#This Row],[item]]="По штрихкоду",ТабПозиции[[#This Row],[item]]="Посылка"),ТабПозиции[[#This Row],[deliverySumm]]+ТабПозиции[[#This Row],[deliveryPost]],SUM(N1643:P1643))</f>
        <v>0</v>
      </c>
      <c r="S1643" s="46">
        <f>ТабПозиции[[#This Row],[totalSumm]]-ТабПозиции[[#This Row],[payment]]</f>
        <v>0</v>
      </c>
      <c r="T1643" s="18"/>
      <c r="U1643" s="40" t="s">
        <v>490</v>
      </c>
      <c r="V1643" s="40" t="str">
        <f>IF(AND(ТабПозиции[[#This Row],[Остаток]]=0,ТабПозиции[[#This Row],[Заказан]]="Да"),"Да","Нет")</f>
        <v>Нет</v>
      </c>
      <c r="W1643" s="40" t="s">
        <v>490</v>
      </c>
    </row>
    <row r="1644" spans="1:23" x14ac:dyDescent="0.25">
      <c r="B1644" s="1" t="str">
        <f>IFERROR(VLOOKUP(ТабПозиции[[#This Row],[orderNum]],ТабЗаказы[#Data],MATCH(B$7,ТабЗаказы[#Headers],0),0),"")</f>
        <v/>
      </c>
      <c r="C1644" t="e">
        <f>MONTH(ТабПозиции[[#This Row],[date]])&amp;"/"&amp;YEAR(ТабПозиции[[#This Row],[date]])</f>
        <v>#VALUE!</v>
      </c>
      <c r="D1644" s="1" t="str">
        <f>IFERROR(VLOOKUP(ТабПозиции[[#This Row],[orderNum]],ТабЗаказы[#Data],MATCH(D$7,ТабЗаказы[#Headers],0),0),"")</f>
        <v/>
      </c>
      <c r="E1644" s="1" t="str">
        <f>IFERROR(VLOOKUP(ТабПозиции[[#This Row],[orderNum]],ТабЗаказы[#Data],MATCH(E$7,ТабЗаказы[#Headers],0),0),"")</f>
        <v/>
      </c>
      <c r="G1644" s="40" t="s">
        <v>490</v>
      </c>
      <c r="I1644" s="18"/>
      <c r="L1644">
        <f>ТабПозиции[[#This Row],[discountPrice]]*ТабПозиции[[#This Row],[quantity]]</f>
        <v>0</v>
      </c>
      <c r="N1644">
        <f t="shared" si="32"/>
        <v>0</v>
      </c>
      <c r="P1644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Row],[orderNum]],ТабПозиции[orderSumm])&gt;1500),ABS(N1644*VLOOKUP(ТабПозиции[[#This Row],[orderNum]],ТабЗаказы[#Data],MATCH("Percent",ТабЗаказы[#Headers],0),0))/100,200/COUNTIF(ТабПозиции[orderNum],ТабПозиции[[#This Row],[orderNum]])),0),"")</f>
        <v/>
      </c>
      <c r="Q1644">
        <f>IF(OR(ТабПозиции[[#This Row],[item]]="По штрихкоду",ТабПозиции[[#This Row],[item]]="Посылка"),ТабПозиции[[#This Row],[deliverySumm]]+ТабПозиции[[#This Row],[deliveryPost]],SUM(N1644:P1644))</f>
        <v>0</v>
      </c>
      <c r="S1644" s="46">
        <f>ТабПозиции[[#This Row],[totalSumm]]-ТабПозиции[[#This Row],[payment]]</f>
        <v>0</v>
      </c>
      <c r="T1644" s="18"/>
      <c r="U1644" s="40" t="s">
        <v>490</v>
      </c>
      <c r="V1644" s="40" t="str">
        <f>IF(AND(ТабПозиции[[#This Row],[Остаток]]=0,ТабПозиции[[#This Row],[Заказан]]="Да"),"Да","Нет")</f>
        <v>Нет</v>
      </c>
      <c r="W1644" s="40" t="s">
        <v>490</v>
      </c>
    </row>
    <row r="1645" spans="1:23" x14ac:dyDescent="0.25">
      <c r="B1645" s="1" t="str">
        <f>IFERROR(VLOOKUP(ТабПозиции[[#This Row],[orderNum]],ТабЗаказы[#Data],MATCH(B$7,ТабЗаказы[#Headers],0),0),"")</f>
        <v/>
      </c>
      <c r="C1645" t="e">
        <f>MONTH(ТабПозиции[[#This Row],[date]])&amp;"/"&amp;YEAR(ТабПозиции[[#This Row],[date]])</f>
        <v>#VALUE!</v>
      </c>
      <c r="D1645" s="1" t="str">
        <f>IFERROR(VLOOKUP(ТабПозиции[[#This Row],[orderNum]],ТабЗаказы[#Data],MATCH(D$7,ТабЗаказы[#Headers],0),0),"")</f>
        <v/>
      </c>
      <c r="E1645" s="1" t="str">
        <f>IFERROR(VLOOKUP(ТабПозиции[[#This Row],[orderNum]],ТабЗаказы[#Data],MATCH(E$7,ТабЗаказы[#Headers],0),0),"")</f>
        <v/>
      </c>
      <c r="G1645" s="40" t="s">
        <v>490</v>
      </c>
      <c r="I1645" s="18"/>
      <c r="L1645">
        <f>ТабПозиции[[#This Row],[discountPrice]]*ТабПозиции[[#This Row],[quantity]]</f>
        <v>0</v>
      </c>
      <c r="N1645">
        <f t="shared" si="32"/>
        <v>0</v>
      </c>
      <c r="P1645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Row],[orderNum]],ТабПозиции[orderSumm])&gt;1500),ABS(N1645*VLOOKUP(ТабПозиции[[#This Row],[orderNum]],ТабЗаказы[#Data],MATCH("Percent",ТабЗаказы[#Headers],0),0))/100,200/COUNTIF(ТабПозиции[orderNum],ТабПозиции[[#This Row],[orderNum]])),0),"")</f>
        <v/>
      </c>
      <c r="Q1645">
        <f>IF(OR(ТабПозиции[[#This Row],[item]]="По штрихкоду",ТабПозиции[[#This Row],[item]]="Посылка"),ТабПозиции[[#This Row],[deliverySumm]]+ТабПозиции[[#This Row],[deliveryPost]],SUM(N1645:P1645))</f>
        <v>0</v>
      </c>
      <c r="S1645" s="46">
        <f>ТабПозиции[[#This Row],[totalSumm]]-ТабПозиции[[#This Row],[payment]]</f>
        <v>0</v>
      </c>
      <c r="T1645" s="18"/>
      <c r="U1645" s="40" t="s">
        <v>490</v>
      </c>
      <c r="V1645" s="40" t="str">
        <f>IF(AND(ТабПозиции[[#This Row],[Остаток]]=0,ТабПозиции[[#This Row],[Заказан]]="Да"),"Да","Нет")</f>
        <v>Нет</v>
      </c>
      <c r="W1645" s="40" t="s">
        <v>490</v>
      </c>
    </row>
    <row r="1646" spans="1:23" x14ac:dyDescent="0.25">
      <c r="B1646" s="1" t="str">
        <f>IFERROR(VLOOKUP(ТабПозиции[[#This Row],[orderNum]],ТабЗаказы[#Data],MATCH(B$7,ТабЗаказы[#Headers],0),0),"")</f>
        <v/>
      </c>
      <c r="C1646" t="e">
        <f>MONTH(ТабПозиции[[#This Row],[date]])&amp;"/"&amp;YEAR(ТабПозиции[[#This Row],[date]])</f>
        <v>#VALUE!</v>
      </c>
      <c r="D1646" s="1" t="str">
        <f>IFERROR(VLOOKUP(ТабПозиции[[#This Row],[orderNum]],ТабЗаказы[#Data],MATCH(D$7,ТабЗаказы[#Headers],0),0),"")</f>
        <v/>
      </c>
      <c r="E1646" s="1" t="str">
        <f>IFERROR(VLOOKUP(ТабПозиции[[#This Row],[orderNum]],ТабЗаказы[#Data],MATCH(E$7,ТабЗаказы[#Headers],0),0),"")</f>
        <v/>
      </c>
      <c r="G1646" s="40" t="s">
        <v>490</v>
      </c>
      <c r="I1646" s="18"/>
      <c r="L1646">
        <f>ТабПозиции[[#This Row],[discountPrice]]*ТабПозиции[[#This Row],[quantity]]</f>
        <v>0</v>
      </c>
      <c r="N1646">
        <f t="shared" si="30"/>
        <v>0</v>
      </c>
      <c r="P1646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Row],[orderNum]],ТабПозиции[orderSumm])&gt;1500),ABS(N1646*VLOOKUP(ТабПозиции[[#This Row],[orderNum]],ТабЗаказы[#Data],MATCH("Percent",ТабЗаказы[#Headers],0),0))/100,200/COUNTIF(ТабПозиции[orderNum],ТабПозиции[[#This Row],[orderNum]])),0),"")</f>
        <v/>
      </c>
      <c r="Q1646">
        <f>IF(OR(ТабПозиции[[#This Row],[item]]="По штрихкоду",ТабПозиции[[#This Row],[item]]="Посылка"),ТабПозиции[[#This Row],[deliverySumm]]+ТабПозиции[[#This Row],[deliveryPost]],SUM(N1646:P1646))</f>
        <v>0</v>
      </c>
      <c r="S1646" s="46">
        <f>ТабПозиции[[#This Row],[totalSumm]]-ТабПозиции[[#This Row],[payment]]</f>
        <v>0</v>
      </c>
      <c r="T1646" s="18"/>
      <c r="U1646" s="40" t="s">
        <v>490</v>
      </c>
      <c r="V1646" s="40" t="str">
        <f>IF(AND(ТабПозиции[[#This Row],[Остаток]]=0,ТабПозиции[[#This Row],[Заказан]]="Да"),"Да","Нет")</f>
        <v>Нет</v>
      </c>
      <c r="W1646" s="40" t="s">
        <v>490</v>
      </c>
    </row>
    <row r="1647" spans="1:23" x14ac:dyDescent="0.25">
      <c r="B1647" s="1" t="str">
        <f>IFERROR(VLOOKUP(ТабПозиции[[#This Row],[orderNum]],ТабЗаказы[#Data],MATCH(B$7,ТабЗаказы[#Headers],0),0),"")</f>
        <v/>
      </c>
      <c r="C1647" t="e">
        <f>MONTH(ТабПозиции[[#This Row],[date]])&amp;"/"&amp;YEAR(ТабПозиции[[#This Row],[date]])</f>
        <v>#VALUE!</v>
      </c>
      <c r="D1647" s="1" t="str">
        <f>IFERROR(VLOOKUP(ТабПозиции[[#This Row],[orderNum]],ТабЗаказы[#Data],MATCH(D$7,ТабЗаказы[#Headers],0),0),"")</f>
        <v/>
      </c>
      <c r="E1647" s="1" t="str">
        <f>IFERROR(VLOOKUP(ТабПозиции[[#This Row],[orderNum]],ТабЗаказы[#Data],MATCH(E$7,ТабЗаказы[#Headers],0),0),"")</f>
        <v/>
      </c>
      <c r="G1647" s="40" t="s">
        <v>490</v>
      </c>
      <c r="I1647" s="18"/>
      <c r="L1647">
        <f>ТабПозиции[[#This Row],[discountPrice]]*ТабПозиции[[#This Row],[quantity]]</f>
        <v>0</v>
      </c>
      <c r="N1647">
        <f t="shared" si="30"/>
        <v>0</v>
      </c>
      <c r="P1647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Row],[orderNum]],ТабПозиции[orderSumm])&gt;1500),ABS(N1647*VLOOKUP(ТабПозиции[[#This Row],[orderNum]],ТабЗаказы[#Data],MATCH("Percent",ТабЗаказы[#Headers],0),0))/100,200/COUNTIF(ТабПозиции[orderNum],ТабПозиции[[#This Row],[orderNum]])),0),"")</f>
        <v/>
      </c>
      <c r="Q1647">
        <f>IF(OR(ТабПозиции[[#This Row],[item]]="По штрихкоду",ТабПозиции[[#This Row],[item]]="Посылка"),ТабПозиции[[#This Row],[deliverySumm]]+ТабПозиции[[#This Row],[deliveryPost]],SUM(N1647:P1647))</f>
        <v>0</v>
      </c>
      <c r="S1647" s="46">
        <f>ТабПозиции[[#This Row],[totalSumm]]-ТабПозиции[[#This Row],[payment]]</f>
        <v>0</v>
      </c>
      <c r="T1647" s="18"/>
      <c r="U1647" s="40" t="s">
        <v>490</v>
      </c>
      <c r="V1647" s="40" t="str">
        <f>IF(AND(ТабПозиции[[#This Row],[Остаток]]=0,ТабПозиции[[#This Row],[Заказан]]="Да"),"Да","Нет")</f>
        <v>Нет</v>
      </c>
      <c r="W1647" s="40" t="s">
        <v>490</v>
      </c>
    </row>
    <row r="1648" spans="1:23" x14ac:dyDescent="0.25">
      <c r="B1648" s="1" t="str">
        <f>IFERROR(VLOOKUP(ТабПозиции[[#This Row],[orderNum]],ТабЗаказы[#Data],MATCH(B$7,ТабЗаказы[#Headers],0),0),"")</f>
        <v/>
      </c>
      <c r="C1648" t="e">
        <f>MONTH(ТабПозиции[[#This Row],[date]])&amp;"/"&amp;YEAR(ТабПозиции[[#This Row],[date]])</f>
        <v>#VALUE!</v>
      </c>
      <c r="D1648" s="1" t="str">
        <f>IFERROR(VLOOKUP(ТабПозиции[[#This Row],[orderNum]],ТабЗаказы[#Data],MATCH(D$7,ТабЗаказы[#Headers],0),0),"")</f>
        <v/>
      </c>
      <c r="E1648" s="1" t="str">
        <f>IFERROR(VLOOKUP(ТабПозиции[[#This Row],[orderNum]],ТабЗаказы[#Data],MATCH(E$7,ТабЗаказы[#Headers],0),0),"")</f>
        <v/>
      </c>
      <c r="G1648" s="40" t="s">
        <v>490</v>
      </c>
      <c r="I1648" s="18"/>
      <c r="L1648">
        <f>ТабПозиции[[#This Row],[discountPrice]]*ТабПозиции[[#This Row],[quantity]]</f>
        <v>0</v>
      </c>
      <c r="N1648">
        <f t="shared" si="30"/>
        <v>0</v>
      </c>
      <c r="P1648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Row],[orderNum]],ТабПозиции[orderSumm])&gt;1500),ABS(N1648*VLOOKUP(ТабПозиции[[#This Row],[orderNum]],ТабЗаказы[#Data],MATCH("Percent",ТабЗаказы[#Headers],0),0))/100,200/COUNTIF(ТабПозиции[orderNum],ТабПозиции[[#This Row],[orderNum]])),0),"")</f>
        <v/>
      </c>
      <c r="Q1648">
        <f>IF(OR(ТабПозиции[[#This Row],[item]]="По штрихкоду",ТабПозиции[[#This Row],[item]]="Посылка"),ТабПозиции[[#This Row],[deliverySumm]]+ТабПозиции[[#This Row],[deliveryPost]],SUM(N1648:P1648))</f>
        <v>0</v>
      </c>
      <c r="S1648" s="46">
        <f>ТабПозиции[[#This Row],[totalSumm]]-ТабПозиции[[#This Row],[payment]]</f>
        <v>0</v>
      </c>
      <c r="T1648" s="18"/>
      <c r="U1648" s="40" t="s">
        <v>490</v>
      </c>
      <c r="V1648" s="40" t="str">
        <f>IF(AND(ТабПозиции[[#This Row],[Остаток]]=0,ТабПозиции[[#This Row],[Заказан]]="Да"),"Да","Нет")</f>
        <v>Нет</v>
      </c>
      <c r="W1648" s="40" t="s">
        <v>490</v>
      </c>
    </row>
    <row r="1649" spans="1:23" x14ac:dyDescent="0.25">
      <c r="B1649" s="1" t="str">
        <f>IFERROR(VLOOKUP(ТабПозиции[[#This Row],[orderNum]],ТабЗаказы[#Data],MATCH(B$7,ТабЗаказы[#Headers],0),0),"")</f>
        <v/>
      </c>
      <c r="C1649" t="e">
        <f>MONTH(ТабПозиции[[#This Row],[date]])&amp;"/"&amp;YEAR(ТабПозиции[[#This Row],[date]])</f>
        <v>#VALUE!</v>
      </c>
      <c r="D1649" s="1" t="str">
        <f>IFERROR(VLOOKUP(ТабПозиции[[#This Row],[orderNum]],ТабЗаказы[#Data],MATCH(D$7,ТабЗаказы[#Headers],0),0),"")</f>
        <v/>
      </c>
      <c r="E1649" s="1" t="str">
        <f>IFERROR(VLOOKUP(ТабПозиции[[#This Row],[orderNum]],ТабЗаказы[#Data],MATCH(E$7,ТабЗаказы[#Headers],0),0),"")</f>
        <v/>
      </c>
      <c r="G1649" s="40" t="s">
        <v>490</v>
      </c>
      <c r="I1649" s="18"/>
      <c r="L1649">
        <f>ТабПозиции[[#This Row],[discountPrice]]*ТабПозиции[[#This Row],[quantity]]</f>
        <v>0</v>
      </c>
      <c r="N1649">
        <f t="shared" si="30"/>
        <v>0</v>
      </c>
      <c r="P1649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Row],[orderNum]],ТабПозиции[orderSumm])&gt;1500),ABS(N1649*VLOOKUP(ТабПозиции[[#This Row],[orderNum]],ТабЗаказы[#Data],MATCH("Percent",ТабЗаказы[#Headers],0),0))/100,200/COUNTIF(ТабПозиции[orderNum],ТабПозиции[[#This Row],[orderNum]])),0),"")</f>
        <v/>
      </c>
      <c r="Q1649">
        <f>IF(OR(ТабПозиции[[#This Row],[item]]="По штрихкоду",ТабПозиции[[#This Row],[item]]="Посылка"),ТабПозиции[[#This Row],[deliverySumm]]+ТабПозиции[[#This Row],[deliveryPost]],SUM(N1649:P1649))</f>
        <v>0</v>
      </c>
      <c r="S1649" s="46">
        <f>ТабПозиции[[#This Row],[totalSumm]]-ТабПозиции[[#This Row],[payment]]</f>
        <v>0</v>
      </c>
      <c r="T1649" s="18"/>
      <c r="U1649" s="40" t="s">
        <v>490</v>
      </c>
      <c r="V1649" s="40" t="str">
        <f>IF(AND(ТабПозиции[[#This Row],[Остаток]]=0,ТабПозиции[[#This Row],[Заказан]]="Да"),"Да","Нет")</f>
        <v>Нет</v>
      </c>
      <c r="W1649" s="40" t="s">
        <v>490</v>
      </c>
    </row>
    <row r="1650" spans="1:23" x14ac:dyDescent="0.25">
      <c r="B1650" s="1" t="str">
        <f>IFERROR(VLOOKUP(ТабПозиции[[#This Row],[orderNum]],ТабЗаказы[#Data],MATCH(B$7,ТабЗаказы[#Headers],0),0),"")</f>
        <v/>
      </c>
      <c r="C1650" t="e">
        <f>MONTH(ТабПозиции[[#This Row],[date]])&amp;"/"&amp;YEAR(ТабПозиции[[#This Row],[date]])</f>
        <v>#VALUE!</v>
      </c>
      <c r="D1650" s="1" t="str">
        <f>IFERROR(VLOOKUP(ТабПозиции[[#This Row],[orderNum]],ТабЗаказы[#Data],MATCH(D$7,ТабЗаказы[#Headers],0),0),"")</f>
        <v/>
      </c>
      <c r="E1650" s="1" t="str">
        <f>IFERROR(VLOOKUP(ТабПозиции[[#This Row],[orderNum]],ТабЗаказы[#Data],MATCH(E$7,ТабЗаказы[#Headers],0),0),"")</f>
        <v/>
      </c>
      <c r="G1650" s="40" t="s">
        <v>490</v>
      </c>
      <c r="I1650" s="18"/>
      <c r="L1650">
        <f>ТабПозиции[[#This Row],[discountPrice]]*ТабПозиции[[#This Row],[quantity]]</f>
        <v>0</v>
      </c>
      <c r="N1650">
        <f t="shared" si="30"/>
        <v>0</v>
      </c>
      <c r="P1650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Row],[orderNum]],ТабПозиции[orderSumm])&gt;1500),ABS(N1650*VLOOKUP(ТабПозиции[[#This Row],[orderNum]],ТабЗаказы[#Data],MATCH("Percent",ТабЗаказы[#Headers],0),0))/100,200/COUNTIF(ТабПозиции[orderNum],ТабПозиции[[#This Row],[orderNum]])),0),"")</f>
        <v/>
      </c>
      <c r="Q1650">
        <f>IF(OR(ТабПозиции[[#This Row],[item]]="По штрихкоду",ТабПозиции[[#This Row],[item]]="Посылка"),ТабПозиции[[#This Row],[deliverySumm]]+ТабПозиции[[#This Row],[deliveryPost]],SUM(N1650:P1650))</f>
        <v>0</v>
      </c>
      <c r="S1650" s="46">
        <f>ТабПозиции[[#This Row],[totalSumm]]-ТабПозиции[[#This Row],[payment]]</f>
        <v>0</v>
      </c>
      <c r="T1650" s="18"/>
      <c r="U1650" s="40" t="s">
        <v>490</v>
      </c>
      <c r="V1650" s="40" t="str">
        <f>IF(AND(ТабПозиции[[#This Row],[Остаток]]=0,ТабПозиции[[#This Row],[Заказан]]="Да"),"Да","Нет")</f>
        <v>Нет</v>
      </c>
      <c r="W1650" s="40" t="s">
        <v>490</v>
      </c>
    </row>
    <row r="1651" spans="1:23" x14ac:dyDescent="0.25">
      <c r="B1651" s="1" t="str">
        <f>IFERROR(VLOOKUP(ТабПозиции[[#This Row],[orderNum]],ТабЗаказы[#Data],MATCH(B$7,ТабЗаказы[#Headers],0),0),"")</f>
        <v/>
      </c>
      <c r="C1651" t="e">
        <f>MONTH(ТабПозиции[[#This Row],[date]])&amp;"/"&amp;YEAR(ТабПозиции[[#This Row],[date]])</f>
        <v>#VALUE!</v>
      </c>
      <c r="D1651" s="1" t="str">
        <f>IFERROR(VLOOKUP(ТабПозиции[[#This Row],[orderNum]],ТабЗаказы[#Data],MATCH(D$7,ТабЗаказы[#Headers],0),0),"")</f>
        <v/>
      </c>
      <c r="E1651" s="1" t="str">
        <f>IFERROR(VLOOKUP(ТабПозиции[[#This Row],[orderNum]],ТабЗаказы[#Data],MATCH(E$7,ТабЗаказы[#Headers],0),0),"")</f>
        <v/>
      </c>
      <c r="G1651" s="40" t="s">
        <v>490</v>
      </c>
      <c r="I1651" s="18"/>
      <c r="L1651">
        <f>ТабПозиции[[#This Row],[discountPrice]]*ТабПозиции[[#This Row],[quantity]]</f>
        <v>0</v>
      </c>
      <c r="N1651">
        <f t="shared" si="30"/>
        <v>0</v>
      </c>
      <c r="P1651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Row],[orderNum]],ТабПозиции[orderSumm])&gt;1500),ABS(N1651*VLOOKUP(ТабПозиции[[#This Row],[orderNum]],ТабЗаказы[#Data],MATCH("Percent",ТабЗаказы[#Headers],0),0))/100,200/COUNTIF(ТабПозиции[orderNum],ТабПозиции[[#This Row],[orderNum]])),0),"")</f>
        <v/>
      </c>
      <c r="Q1651">
        <f>IF(OR(ТабПозиции[[#This Row],[item]]="По штрихкоду",ТабПозиции[[#This Row],[item]]="Посылка"),ТабПозиции[[#This Row],[deliverySumm]]+ТабПозиции[[#This Row],[deliveryPost]],SUM(N1651:P1651))</f>
        <v>0</v>
      </c>
      <c r="S1651" s="46">
        <f>ТабПозиции[[#This Row],[totalSumm]]-ТабПозиции[[#This Row],[payment]]</f>
        <v>0</v>
      </c>
      <c r="T1651" s="18"/>
      <c r="U1651" s="40" t="s">
        <v>490</v>
      </c>
      <c r="V1651" s="40" t="str">
        <f>IF(AND(ТабПозиции[[#This Row],[Остаток]]=0,ТабПозиции[[#This Row],[Заказан]]="Да"),"Да","Нет")</f>
        <v>Нет</v>
      </c>
      <c r="W1651" s="40" t="s">
        <v>490</v>
      </c>
    </row>
    <row r="1652" spans="1:23" x14ac:dyDescent="0.25">
      <c r="B1652" s="1" t="str">
        <f>IFERROR(VLOOKUP(ТабПозиции[[#This Row],[orderNum]],ТабЗаказы[#Data],MATCH(B$7,ТабЗаказы[#Headers],0),0),"")</f>
        <v/>
      </c>
      <c r="C1652" t="e">
        <f>MONTH(ТабПозиции[[#This Row],[date]])&amp;"/"&amp;YEAR(ТабПозиции[[#This Row],[date]])</f>
        <v>#VALUE!</v>
      </c>
      <c r="D1652" s="1" t="str">
        <f>IFERROR(VLOOKUP(ТабПозиции[[#This Row],[orderNum]],ТабЗаказы[#Data],MATCH(D$7,ТабЗаказы[#Headers],0),0),"")</f>
        <v/>
      </c>
      <c r="E1652" s="1" t="str">
        <f>IFERROR(VLOOKUP(ТабПозиции[[#This Row],[orderNum]],ТабЗаказы[#Data],MATCH(E$7,ТабЗаказы[#Headers],0),0),"")</f>
        <v/>
      </c>
      <c r="G1652" s="40" t="s">
        <v>490</v>
      </c>
      <c r="I1652" s="18"/>
      <c r="L1652">
        <f>ТабПозиции[[#This Row],[discountPrice]]*ТабПозиции[[#This Row],[quantity]]</f>
        <v>0</v>
      </c>
      <c r="N1652">
        <f t="shared" si="30"/>
        <v>0</v>
      </c>
      <c r="P1652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Row],[orderNum]],ТабПозиции[orderSumm])&gt;1500),ABS(N1652*VLOOKUP(ТабПозиции[[#This Row],[orderNum]],ТабЗаказы[#Data],MATCH("Percent",ТабЗаказы[#Headers],0),0))/100,200/COUNTIF(ТабПозиции[orderNum],ТабПозиции[[#This Row],[orderNum]])),0),"")</f>
        <v/>
      </c>
      <c r="Q1652">
        <f>IF(OR(ТабПозиции[[#This Row],[item]]="По штрихкоду",ТабПозиции[[#This Row],[item]]="Посылка"),ТабПозиции[[#This Row],[deliverySumm]]+ТабПозиции[[#This Row],[deliveryPost]],SUM(N1652:P1652))</f>
        <v>0</v>
      </c>
      <c r="S1652" s="46">
        <f>ТабПозиции[[#This Row],[totalSumm]]-ТабПозиции[[#This Row],[payment]]</f>
        <v>0</v>
      </c>
      <c r="T1652" s="18"/>
      <c r="U1652" s="40" t="s">
        <v>490</v>
      </c>
      <c r="V1652" s="40" t="str">
        <f>IF(AND(ТабПозиции[[#This Row],[Остаток]]=0,ТабПозиции[[#This Row],[Заказан]]="Да"),"Да","Нет")</f>
        <v>Нет</v>
      </c>
      <c r="W1652" s="40" t="s">
        <v>490</v>
      </c>
    </row>
    <row r="1653" spans="1:23" x14ac:dyDescent="0.25">
      <c r="B1653" s="1" t="str">
        <f>IFERROR(VLOOKUP(ТабПозиции[[#This Row],[orderNum]],ТабЗаказы[#Data],MATCH(B$7,ТабЗаказы[#Headers],0),0),"")</f>
        <v/>
      </c>
      <c r="C1653" t="e">
        <f>MONTH(ТабПозиции[[#This Row],[date]])&amp;"/"&amp;YEAR(ТабПозиции[[#This Row],[date]])</f>
        <v>#VALUE!</v>
      </c>
      <c r="D1653" s="1" t="str">
        <f>IFERROR(VLOOKUP(ТабПозиции[[#This Row],[orderNum]],ТабЗаказы[#Data],MATCH(D$7,ТабЗаказы[#Headers],0),0),"")</f>
        <v/>
      </c>
      <c r="E1653" s="1" t="str">
        <f>IFERROR(VLOOKUP(ТабПозиции[[#This Row],[orderNum]],ТабЗаказы[#Data],MATCH(E$7,ТабЗаказы[#Headers],0),0),"")</f>
        <v/>
      </c>
      <c r="G1653" s="40" t="s">
        <v>490</v>
      </c>
      <c r="I1653" s="18"/>
      <c r="L1653">
        <f>ТабПозиции[[#This Row],[discountPrice]]*ТабПозиции[[#This Row],[quantity]]</f>
        <v>0</v>
      </c>
      <c r="N1653">
        <f t="shared" si="30"/>
        <v>0</v>
      </c>
      <c r="P1653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Row],[orderNum]],ТабПозиции[orderSumm])&gt;1500),ABS(N1653*VLOOKUP(ТабПозиции[[#This Row],[orderNum]],ТабЗаказы[#Data],MATCH("Percent",ТабЗаказы[#Headers],0),0))/100,200/COUNTIF(ТабПозиции[orderNum],ТабПозиции[[#This Row],[orderNum]])),0),"")</f>
        <v/>
      </c>
      <c r="Q1653">
        <f>IF(OR(ТабПозиции[[#This Row],[item]]="По штрихкоду",ТабПозиции[[#This Row],[item]]="Посылка"),ТабПозиции[[#This Row],[deliverySumm]]+ТабПозиции[[#This Row],[deliveryPost]],SUM(N1653:P1653))</f>
        <v>0</v>
      </c>
      <c r="S1653" s="46">
        <f>ТабПозиции[[#This Row],[totalSumm]]-ТабПозиции[[#This Row],[payment]]</f>
        <v>0</v>
      </c>
      <c r="T1653" s="18"/>
      <c r="U1653" s="40" t="s">
        <v>490</v>
      </c>
      <c r="V1653" s="40" t="str">
        <f>IF(AND(ТабПозиции[[#This Row],[Остаток]]=0,ТабПозиции[[#This Row],[Заказан]]="Да"),"Да","Нет")</f>
        <v>Нет</v>
      </c>
      <c r="W1653" s="40" t="s">
        <v>490</v>
      </c>
    </row>
    <row r="1654" spans="1:23" x14ac:dyDescent="0.25">
      <c r="B1654" s="1" t="str">
        <f>IFERROR(VLOOKUP(ТабПозиции[[#This Row],[orderNum]],ТабЗаказы[#Data],MATCH(B$7,ТабЗаказы[#Headers],0),0),"")</f>
        <v/>
      </c>
      <c r="C1654" t="e">
        <f>MONTH(ТабПозиции[[#This Row],[date]])&amp;"/"&amp;YEAR(ТабПозиции[[#This Row],[date]])</f>
        <v>#VALUE!</v>
      </c>
      <c r="D1654" s="1" t="str">
        <f>IFERROR(VLOOKUP(ТабПозиции[[#This Row],[orderNum]],ТабЗаказы[#Data],MATCH(D$7,ТабЗаказы[#Headers],0),0),"")</f>
        <v/>
      </c>
      <c r="E1654" s="1" t="str">
        <f>IFERROR(VLOOKUP(ТабПозиции[[#This Row],[orderNum]],ТабЗаказы[#Data],MATCH(E$7,ТабЗаказы[#Headers],0),0),"")</f>
        <v/>
      </c>
      <c r="G1654" s="40" t="s">
        <v>490</v>
      </c>
      <c r="I1654" s="18"/>
      <c r="L1654">
        <f>ТабПозиции[[#This Row],[discountPrice]]*ТабПозиции[[#This Row],[quantity]]</f>
        <v>0</v>
      </c>
      <c r="N1654">
        <f t="shared" si="30"/>
        <v>0</v>
      </c>
      <c r="P1654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Row],[orderNum]],ТабПозиции[orderSumm])&gt;1500),ABS(N1654*VLOOKUP(ТабПозиции[[#This Row],[orderNum]],ТабЗаказы[#Data],MATCH("Percent",ТабЗаказы[#Headers],0),0))/100,200/COUNTIF(ТабПозиции[orderNum],ТабПозиции[[#This Row],[orderNum]])),0),"")</f>
        <v/>
      </c>
      <c r="Q1654">
        <f>IF(OR(ТабПозиции[[#This Row],[item]]="По штрихкоду",ТабПозиции[[#This Row],[item]]="Посылка"),ТабПозиции[[#This Row],[deliverySumm]]+ТабПозиции[[#This Row],[deliveryPost]],SUM(N1654:P1654))</f>
        <v>0</v>
      </c>
      <c r="S1654" s="46">
        <f>ТабПозиции[[#This Row],[totalSumm]]-ТабПозиции[[#This Row],[payment]]</f>
        <v>0</v>
      </c>
      <c r="T1654" s="18"/>
      <c r="U1654" s="40" t="s">
        <v>490</v>
      </c>
      <c r="V1654" s="40" t="str">
        <f>IF(AND(ТабПозиции[[#This Row],[Остаток]]=0,ТабПозиции[[#This Row],[Заказан]]="Да"),"Да","Нет")</f>
        <v>Нет</v>
      </c>
      <c r="W1654" s="40" t="s">
        <v>490</v>
      </c>
    </row>
    <row r="1655" spans="1:23" x14ac:dyDescent="0.25">
      <c r="B1655" s="1" t="str">
        <f>IFERROR(VLOOKUP(ТабПозиции[[#This Row],[orderNum]],ТабЗаказы[#Data],MATCH(B$7,ТабЗаказы[#Headers],0),0),"")</f>
        <v/>
      </c>
      <c r="C1655" t="e">
        <f>MONTH(ТабПозиции[[#This Row],[date]])&amp;"/"&amp;YEAR(ТабПозиции[[#This Row],[date]])</f>
        <v>#VALUE!</v>
      </c>
      <c r="D1655" s="1" t="str">
        <f>IFERROR(VLOOKUP(ТабПозиции[[#This Row],[orderNum]],ТабЗаказы[#Data],MATCH(D$7,ТабЗаказы[#Headers],0),0),"")</f>
        <v/>
      </c>
      <c r="E1655" s="1" t="str">
        <f>IFERROR(VLOOKUP(ТабПозиции[[#This Row],[orderNum]],ТабЗаказы[#Data],MATCH(E$7,ТабЗаказы[#Headers],0),0),"")</f>
        <v/>
      </c>
      <c r="G1655" s="40" t="s">
        <v>490</v>
      </c>
      <c r="I1655" s="18"/>
      <c r="L1655">
        <f>ТабПозиции[[#This Row],[discountPrice]]*ТабПозиции[[#This Row],[quantity]]</f>
        <v>0</v>
      </c>
      <c r="N1655">
        <f t="shared" si="30"/>
        <v>0</v>
      </c>
      <c r="P1655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Row],[orderNum]],ТабПозиции[orderSumm])&gt;1500),ABS(N1655*VLOOKUP(ТабПозиции[[#This Row],[orderNum]],ТабЗаказы[#Data],MATCH("Percent",ТабЗаказы[#Headers],0),0))/100,200/COUNTIF(ТабПозиции[orderNum],ТабПозиции[[#This Row],[orderNum]])),0),"")</f>
        <v/>
      </c>
      <c r="Q1655">
        <f>IF(OR(ТабПозиции[[#This Row],[item]]="По штрихкоду",ТабПозиции[[#This Row],[item]]="Посылка"),ТабПозиции[[#This Row],[deliverySumm]]+ТабПозиции[[#This Row],[deliveryPost]],SUM(N1655:P1655))</f>
        <v>0</v>
      </c>
      <c r="S1655" s="46">
        <f>ТабПозиции[[#This Row],[totalSumm]]-ТабПозиции[[#This Row],[payment]]</f>
        <v>0</v>
      </c>
      <c r="T1655" s="18"/>
      <c r="U1655" s="40" t="s">
        <v>490</v>
      </c>
      <c r="V1655" s="40" t="str">
        <f>IF(AND(ТабПозиции[[#This Row],[Остаток]]=0,ТабПозиции[[#This Row],[Заказан]]="Да"),"Да","Нет")</f>
        <v>Нет</v>
      </c>
      <c r="W1655" s="40" t="s">
        <v>490</v>
      </c>
    </row>
    <row r="1656" spans="1:23" x14ac:dyDescent="0.25">
      <c r="B1656" s="1" t="str">
        <f>IFERROR(VLOOKUP(ТабПозиции[[#This Row],[orderNum]],ТабЗаказы[#Data],MATCH(B$7,ТабЗаказы[#Headers],0),0),"")</f>
        <v/>
      </c>
      <c r="C1656" t="e">
        <f>MONTH(ТабПозиции[[#This Row],[date]])&amp;"/"&amp;YEAR(ТабПозиции[[#This Row],[date]])</f>
        <v>#VALUE!</v>
      </c>
      <c r="D1656" s="1" t="str">
        <f>IFERROR(VLOOKUP(ТабПозиции[[#This Row],[orderNum]],ТабЗаказы[#Data],MATCH(D$7,ТабЗаказы[#Headers],0),0),"")</f>
        <v/>
      </c>
      <c r="E1656" s="1" t="str">
        <f>IFERROR(VLOOKUP(ТабПозиции[[#This Row],[orderNum]],ТабЗаказы[#Data],MATCH(E$7,ТабЗаказы[#Headers],0),0),"")</f>
        <v/>
      </c>
      <c r="G1656" s="40" t="s">
        <v>490</v>
      </c>
      <c r="I1656" s="18"/>
      <c r="L1656">
        <f>ТабПозиции[[#This Row],[discountPrice]]*ТабПозиции[[#This Row],[quantity]]</f>
        <v>0</v>
      </c>
      <c r="N1656">
        <f t="shared" si="30"/>
        <v>0</v>
      </c>
      <c r="P1656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Row],[orderNum]],ТабПозиции[orderSumm])&gt;1500),ABS(N1656*VLOOKUP(ТабПозиции[[#This Row],[orderNum]],ТабЗаказы[#Data],MATCH("Percent",ТабЗаказы[#Headers],0),0))/100,200/COUNTIF(ТабПозиции[orderNum],ТабПозиции[[#This Row],[orderNum]])),0),"")</f>
        <v/>
      </c>
      <c r="Q1656">
        <f>IF(OR(ТабПозиции[[#This Row],[item]]="По штрихкоду",ТабПозиции[[#This Row],[item]]="Посылка"),ТабПозиции[[#This Row],[deliverySumm]]+ТабПозиции[[#This Row],[deliveryPost]],SUM(N1656:P1656))</f>
        <v>0</v>
      </c>
      <c r="S1656" s="46">
        <f>ТабПозиции[[#This Row],[totalSumm]]-ТабПозиции[[#This Row],[payment]]</f>
        <v>0</v>
      </c>
      <c r="T1656" s="18"/>
      <c r="U1656" s="40" t="s">
        <v>490</v>
      </c>
      <c r="V1656" s="40" t="str">
        <f>IF(AND(ТабПозиции[[#This Row],[Остаток]]=0,ТабПозиции[[#This Row],[Заказан]]="Да"),"Да","Нет")</f>
        <v>Нет</v>
      </c>
      <c r="W1656" s="40" t="s">
        <v>490</v>
      </c>
    </row>
    <row r="1657" spans="1:23" x14ac:dyDescent="0.25">
      <c r="B1657" s="1" t="str">
        <f>IFERROR(VLOOKUP(ТабПозиции[[#This Row],[orderNum]],ТабЗаказы[#Data],MATCH(B$7,ТабЗаказы[#Headers],0),0),"")</f>
        <v/>
      </c>
      <c r="C1657" t="e">
        <f>MONTH(ТабПозиции[[#This Row],[date]])&amp;"/"&amp;YEAR(ТабПозиции[[#This Row],[date]])</f>
        <v>#VALUE!</v>
      </c>
      <c r="D1657" s="1" t="str">
        <f>IFERROR(VLOOKUP(ТабПозиции[[#This Row],[orderNum]],ТабЗаказы[#Data],MATCH(D$7,ТабЗаказы[#Headers],0),0),"")</f>
        <v/>
      </c>
      <c r="E1657" s="1" t="str">
        <f>IFERROR(VLOOKUP(ТабПозиции[[#This Row],[orderNum]],ТабЗаказы[#Data],MATCH(E$7,ТабЗаказы[#Headers],0),0),"")</f>
        <v/>
      </c>
      <c r="G1657" s="40" t="s">
        <v>490</v>
      </c>
      <c r="I1657" s="18"/>
      <c r="L1657">
        <f>ТабПозиции[[#This Row],[discountPrice]]*ТабПозиции[[#This Row],[quantity]]</f>
        <v>0</v>
      </c>
      <c r="N1657">
        <f t="shared" si="30"/>
        <v>0</v>
      </c>
      <c r="P1657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Row],[orderNum]],ТабПозиции[orderSumm])&gt;1500),ABS(N1657*VLOOKUP(ТабПозиции[[#This Row],[orderNum]],ТабЗаказы[#Data],MATCH("Percent",ТабЗаказы[#Headers],0),0))/100,200/COUNTIF(ТабПозиции[orderNum],ТабПозиции[[#This Row],[orderNum]])),0),"")</f>
        <v/>
      </c>
      <c r="Q1657">
        <f>IF(OR(ТабПозиции[[#This Row],[item]]="По штрихкоду",ТабПозиции[[#This Row],[item]]="Посылка"),ТабПозиции[[#This Row],[deliverySumm]]+ТабПозиции[[#This Row],[deliveryPost]],SUM(N1657:P1657))</f>
        <v>0</v>
      </c>
      <c r="S1657" s="46">
        <f>ТабПозиции[[#This Row],[totalSumm]]-ТабПозиции[[#This Row],[payment]]</f>
        <v>0</v>
      </c>
      <c r="T1657" s="18"/>
      <c r="U1657" s="40" t="s">
        <v>490</v>
      </c>
      <c r="V1657" s="40" t="str">
        <f>IF(AND(ТабПозиции[[#This Row],[Остаток]]=0,ТабПозиции[[#This Row],[Заказан]]="Да"),"Да","Нет")</f>
        <v>Нет</v>
      </c>
      <c r="W1657" s="40" t="s">
        <v>490</v>
      </c>
    </row>
    <row r="1658" spans="1:23" x14ac:dyDescent="0.25">
      <c r="B1658" s="1" t="str">
        <f>IFERROR(VLOOKUP(ТабПозиции[[#This Row],[orderNum]],ТабЗаказы[#Data],MATCH(B$7,ТабЗаказы[#Headers],0),0),"")</f>
        <v/>
      </c>
      <c r="C1658" t="e">
        <f>MONTH(ТабПозиции[[#This Row],[date]])&amp;"/"&amp;YEAR(ТабПозиции[[#This Row],[date]])</f>
        <v>#VALUE!</v>
      </c>
      <c r="D1658" s="1" t="str">
        <f>IFERROR(VLOOKUP(ТабПозиции[[#This Row],[orderNum]],ТабЗаказы[#Data],MATCH(D$7,ТабЗаказы[#Headers],0),0),"")</f>
        <v/>
      </c>
      <c r="E1658" s="1" t="str">
        <f>IFERROR(VLOOKUP(ТабПозиции[[#This Row],[orderNum]],ТабЗаказы[#Data],MATCH(E$7,ТабЗаказы[#Headers],0),0),"")</f>
        <v/>
      </c>
      <c r="G1658" s="40" t="s">
        <v>490</v>
      </c>
      <c r="I1658" s="18"/>
      <c r="L1658">
        <f>ТабПозиции[[#This Row],[discountPrice]]*ТабПозиции[[#This Row],[quantity]]</f>
        <v>0</v>
      </c>
      <c r="N1658">
        <f t="shared" si="30"/>
        <v>0</v>
      </c>
      <c r="P1658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Row],[orderNum]],ТабПозиции[orderSumm])&gt;1500),ABS(N1658*VLOOKUP(ТабПозиции[[#This Row],[orderNum]],ТабЗаказы[#Data],MATCH("Percent",ТабЗаказы[#Headers],0),0))/100,200/COUNTIF(ТабПозиции[orderNum],ТабПозиции[[#This Row],[orderNum]])),0),"")</f>
        <v/>
      </c>
      <c r="Q1658">
        <f>IF(OR(ТабПозиции[[#This Row],[item]]="По штрихкоду",ТабПозиции[[#This Row],[item]]="Посылка"),ТабПозиции[[#This Row],[deliverySumm]]+ТабПозиции[[#This Row],[deliveryPost]],SUM(N1658:P1658))</f>
        <v>0</v>
      </c>
      <c r="S1658" s="46">
        <f>ТабПозиции[[#This Row],[totalSumm]]-ТабПозиции[[#This Row],[payment]]</f>
        <v>0</v>
      </c>
      <c r="T1658" s="18"/>
      <c r="U1658" s="40" t="s">
        <v>490</v>
      </c>
      <c r="V1658" s="40" t="str">
        <f>IF(AND(ТабПозиции[[#This Row],[Остаток]]=0,ТабПозиции[[#This Row],[Заказан]]="Да"),"Да","Нет")</f>
        <v>Нет</v>
      </c>
      <c r="W1658" s="40" t="s">
        <v>490</v>
      </c>
    </row>
    <row r="1659" spans="1:23" x14ac:dyDescent="0.25">
      <c r="B1659" s="1" t="str">
        <f>IFERROR(VLOOKUP(ТабПозиции[[#This Row],[orderNum]],ТабЗаказы[#Data],MATCH(B$7,ТабЗаказы[#Headers],0),0),"")</f>
        <v/>
      </c>
      <c r="C1659" t="e">
        <f>MONTH(ТабПозиции[[#This Row],[date]])&amp;"/"&amp;YEAR(ТабПозиции[[#This Row],[date]])</f>
        <v>#VALUE!</v>
      </c>
      <c r="D1659" s="1" t="str">
        <f>IFERROR(VLOOKUP(ТабПозиции[[#This Row],[orderNum]],ТабЗаказы[#Data],MATCH(D$7,ТабЗаказы[#Headers],0),0),"")</f>
        <v/>
      </c>
      <c r="E1659" s="1" t="str">
        <f>IFERROR(VLOOKUP(ТабПозиции[[#This Row],[orderNum]],ТабЗаказы[#Data],MATCH(E$7,ТабЗаказы[#Headers],0),0),"")</f>
        <v/>
      </c>
      <c r="G1659" s="40" t="s">
        <v>490</v>
      </c>
      <c r="I1659" s="18"/>
      <c r="L1659">
        <f>ТабПозиции[[#This Row],[discountPrice]]*ТабПозиции[[#This Row],[quantity]]</f>
        <v>0</v>
      </c>
      <c r="N1659">
        <f t="shared" si="30"/>
        <v>0</v>
      </c>
      <c r="P1659" t="str">
        <f>IFERROR(ROUND(IF(OR(SUMIF(ТабПозиции[orderNum],ТабПозиции[[#This Row],[orderNum]],ТабПозиции[orderSumm])&lt;-1500,SUMIF(ТабПозиции[orderNum],ТабПозиции[[#This Row],[orderNum]],ТабПозиции[orderSumm])&gt;1500),ABS(N1659*VLOOKUP(ТабПозиции[[#This Row],[orderNum]],ТабЗаказы[#Data],MATCH("Percent",ТабЗаказы[#Headers],0),0))/100,200/COUNTIF(ТабПозиции[orderNum],ТабПозиции[[#This Row],[orderNum]])),0),"")</f>
        <v/>
      </c>
      <c r="Q1659">
        <f>IF(OR(ТабПозиции[[#This Row],[item]]="По штрихкоду",ТабПозиции[[#This Row],[item]]="Посылка"),ТабПозиции[[#This Row],[deliverySumm]]+ТабПозиции[[#This Row],[deliveryPost]],SUM(N1659:P1659))</f>
        <v>0</v>
      </c>
      <c r="S1659" s="46">
        <f>ТабПозиции[[#This Row],[totalSumm]]-ТабПозиции[[#This Row],[payment]]</f>
        <v>0</v>
      </c>
      <c r="T1659" s="18"/>
      <c r="U1659" s="40" t="s">
        <v>490</v>
      </c>
      <c r="V1659" s="40" t="str">
        <f>IF(AND(ТабПозиции[[#This Row],[Остаток]]=0,ТабПозиции[[#This Row],[Заказан]]="Да"),"Да","Нет")</f>
        <v>Нет</v>
      </c>
      <c r="W1659" s="40" t="s">
        <v>490</v>
      </c>
    </row>
    <row r="1660" spans="1:23" x14ac:dyDescent="0.25">
      <c r="A1660" s="10" t="s">
        <v>518</v>
      </c>
      <c r="J1660" s="10">
        <f>SUBTOTAL(103,ТабПозиции[quantity])</f>
        <v>48</v>
      </c>
      <c r="L1660">
        <f>SUBTOTAL(109,ТабПозиции[discountSumm])</f>
        <v>43383</v>
      </c>
      <c r="N1660">
        <f>SUBTOTAL(109,ТабПозиции[orderSumm])</f>
        <v>45359</v>
      </c>
      <c r="O1660" s="10">
        <f>SUBTOTAL(109,ТабПозиции[deliveryPost])</f>
        <v>2989</v>
      </c>
      <c r="P1660">
        <f>SUBTOTAL(109,ТабПозиции[deliverySumm])</f>
        <v>6680</v>
      </c>
      <c r="Q1660">
        <f>SUBTOTAL(109,ТабПозиции[totalSumm])</f>
        <v>55028</v>
      </c>
      <c r="R1660" s="41">
        <f>SUBTOTAL(109,ТабПозиции[payment])</f>
        <v>53345</v>
      </c>
      <c r="S1660" s="46">
        <f>SUBTOTAL(109,ТабПозиции[Остаток])</f>
        <v>1683</v>
      </c>
      <c r="W1660" s="40"/>
    </row>
  </sheetData>
  <sheetProtection formatCells="0" formatColumns="0" formatRows="0" insertHyperlinks="0" selectLockedCells="1" sort="0" autoFilter="0"/>
  <conditionalFormatting sqref="U514 U663 U1646:V1048576 W1646:W1660 G1646:G1048576 U1141:V1612 G1:G1612 W445:W1612">
    <cfRule type="expression" dxfId="16" priority="31">
      <formula>G1="Да"</formula>
    </cfRule>
  </conditionalFormatting>
  <conditionalFormatting sqref="U1:V443 W1:W444 U444:U446 U515:V662 U664:V1138 U1139:U1140 X1628:X1048576">
    <cfRule type="expression" dxfId="15" priority="39">
      <formula>U1="Да"</formula>
    </cfRule>
  </conditionalFormatting>
  <conditionalFormatting sqref="U447:V513">
    <cfRule type="expression" dxfId="14" priority="38">
      <formula>U447="Да"</formula>
    </cfRule>
  </conditionalFormatting>
  <conditionalFormatting sqref="V444:V446">
    <cfRule type="expression" dxfId="13" priority="36">
      <formula>V444="Да"</formula>
    </cfRule>
  </conditionalFormatting>
  <conditionalFormatting sqref="V514">
    <cfRule type="expression" dxfId="12" priority="10">
      <formula>V514="Да"</formula>
    </cfRule>
  </conditionalFormatting>
  <conditionalFormatting sqref="V663">
    <cfRule type="expression" dxfId="11" priority="11">
      <formula>V663="Да"</formula>
    </cfRule>
  </conditionalFormatting>
  <conditionalFormatting sqref="V1139:V1140">
    <cfRule type="expression" dxfId="10" priority="17">
      <formula>V1139="Да"</formula>
    </cfRule>
  </conditionalFormatting>
  <conditionalFormatting sqref="H1646:H10020 H7:H1612">
    <cfRule type="expression" dxfId="9" priority="99">
      <formula>COUNTIF($H$7:$H$10019,H7)&gt;1</formula>
    </cfRule>
  </conditionalFormatting>
  <conditionalFormatting sqref="G1635:G1645 U1636:W1645 V1635:W1635">
    <cfRule type="expression" dxfId="8" priority="8">
      <formula>G1635="Да"</formula>
    </cfRule>
  </conditionalFormatting>
  <conditionalFormatting sqref="H1635:H1645">
    <cfRule type="expression" dxfId="7" priority="9">
      <formula>COUNTIF($H$7:$H$10019,H1635)&gt;1</formula>
    </cfRule>
  </conditionalFormatting>
  <conditionalFormatting sqref="G1624:G1634 U1624:W1629 V1630:W1634">
    <cfRule type="expression" dxfId="6" priority="6">
      <formula>G1624="Да"</formula>
    </cfRule>
  </conditionalFormatting>
  <conditionalFormatting sqref="H1624:H1634">
    <cfRule type="expression" dxfId="5" priority="7">
      <formula>COUNTIF($H$7:$H$10019,H1624)&gt;1</formula>
    </cfRule>
  </conditionalFormatting>
  <conditionalFormatting sqref="G1613:G1623 U1613:W1623">
    <cfRule type="expression" dxfId="4" priority="4">
      <formula>G1613="Да"</formula>
    </cfRule>
  </conditionalFormatting>
  <conditionalFormatting sqref="H1613:H1623">
    <cfRule type="expression" dxfId="3" priority="5">
      <formula>COUNTIF($H$7:$H$10019,H1613)&gt;1</formula>
    </cfRule>
  </conditionalFormatting>
  <conditionalFormatting sqref="U1630:U1631">
    <cfRule type="expression" dxfId="2" priority="3">
      <formula>U1630="Да"</formula>
    </cfRule>
  </conditionalFormatting>
  <conditionalFormatting sqref="U1632">
    <cfRule type="expression" dxfId="1" priority="2">
      <formula>U1632="Да"</formula>
    </cfRule>
  </conditionalFormatting>
  <conditionalFormatting sqref="U1633:U1635">
    <cfRule type="expression" dxfId="0" priority="1">
      <formula>U1633="Да"</formula>
    </cfRule>
  </conditionalFormatting>
  <hyperlinks>
    <hyperlink ref="F10" r:id="rId1" xr:uid="{96D0BDF3-6D66-43C0-8C27-27FC94E82C89}"/>
    <hyperlink ref="F8" r:id="rId2" xr:uid="{AA4908E4-7A67-4715-BD46-F3981CAE0235}"/>
    <hyperlink ref="F11" r:id="rId3" xr:uid="{579E6111-EF0A-4397-AE93-CD1684F180FE}"/>
    <hyperlink ref="F12" r:id="rId4" xr:uid="{48929045-4B17-4611-AD66-1DF7B6B5BD8F}"/>
    <hyperlink ref="F13" r:id="rId5" xr:uid="{FB97FC57-C03D-4D5F-9FBC-A839080F7454}"/>
    <hyperlink ref="F16" r:id="rId6" xr:uid="{11F15BF4-D597-4599-9E2C-6F4A94387309}"/>
    <hyperlink ref="F14" r:id="rId7" xr:uid="{34638CA0-6F81-4DFA-886E-B3602631208E}"/>
    <hyperlink ref="F15" r:id="rId8" xr:uid="{F1FBAF8D-D3C7-4B4D-9CC6-05F1FBB760BA}"/>
    <hyperlink ref="F17" r:id="rId9" xr:uid="{519F4831-0111-40DD-8B09-06A559B6B57B}"/>
    <hyperlink ref="F18" r:id="rId10" xr:uid="{240FEE11-DBC0-4F82-A1DB-D64300B02F7B}"/>
    <hyperlink ref="F19" r:id="rId11" xr:uid="{F605EEB2-32BF-469E-9175-44FC08967A3D}"/>
    <hyperlink ref="F20" r:id="rId12" xr:uid="{446E8296-350C-44C9-8F02-EC2075BAF965}"/>
    <hyperlink ref="F22" r:id="rId13" xr:uid="{F2F1ADE5-04C9-4161-9B05-350B615FFB32}"/>
    <hyperlink ref="F23" r:id="rId14" xr:uid="{E263380A-DADE-418A-8F03-66E98A0A0D76}"/>
    <hyperlink ref="F21" r:id="rId15" xr:uid="{0DD2B84D-6567-4212-82DD-300EC1F11A69}"/>
    <hyperlink ref="F24" r:id="rId16" xr:uid="{192F6A4E-D343-461D-A660-74DC0842A550}"/>
    <hyperlink ref="F25" r:id="rId17" xr:uid="{C5F7AE6A-0792-4F41-B6AF-FC1F2EE0C703}"/>
    <hyperlink ref="F26" r:id="rId18" xr:uid="{AB2A97DC-F0D2-47C0-BA27-A65339ECE3CD}"/>
    <hyperlink ref="F27" r:id="rId19" xr:uid="{E31CCEAB-9820-4F0B-963E-8B0DFD3F8DB5}"/>
    <hyperlink ref="F9" r:id="rId20" xr:uid="{83397DEE-CE90-4001-9DF9-C84E751304C3}"/>
    <hyperlink ref="F29" r:id="rId21" xr:uid="{717A021E-215A-4839-9B20-7AEB80FCE5C8}"/>
    <hyperlink ref="F30" r:id="rId22" xr:uid="{49909CB4-0D6B-4089-9D36-9A708892F284}"/>
    <hyperlink ref="F31" r:id="rId23" xr:uid="{B3642330-C2E4-48F0-B267-03AF221AC429}"/>
    <hyperlink ref="F32" r:id="rId24" xr:uid="{0B6A6CA6-98BC-4040-9C95-2259B7E8AC40}"/>
    <hyperlink ref="F33" r:id="rId25" display="Мартин Иден" xr:uid="{44922301-5E50-4976-9AD7-1786123BDCFB}"/>
    <hyperlink ref="F34" r:id="rId26" display="Флажки закладки" xr:uid="{FD623D85-EBEA-4774-8D0D-D7B3AD231016}"/>
    <hyperlink ref="F35" r:id="rId27" xr:uid="{EC71D6E0-1087-4FB1-9930-4F2C4521A153}"/>
    <hyperlink ref="F36" r:id="rId28" xr:uid="{B4CDB840-A8FA-4DEB-915D-83BBE4D00752}"/>
    <hyperlink ref="F37" r:id="rId29" xr:uid="{BF46B8EE-984B-434B-9853-359C9F193047}"/>
    <hyperlink ref="F38" r:id="rId30" xr:uid="{845430B0-A522-4A15-8FC7-76095C313924}"/>
    <hyperlink ref="F39" location="Наушники беспроводные APods Pro 2 копия iphone android,  https://www.wildberries.ru/catalog/170005488/detail.aspx" display="Наушники" xr:uid="{3544AC52-3A74-4F5A-BD6D-4EFA653C9B72}"/>
    <hyperlink ref="F42" r:id="rId31" xr:uid="{A7F2C0CC-ADE1-49F8-A157-EF281AD82F8A}"/>
    <hyperlink ref="F43" r:id="rId32" xr:uid="{11653187-C41F-43F9-890F-615CC43987C4}"/>
    <hyperlink ref="F44" r:id="rId33" display="Рюкзак" xr:uid="{B69264F9-51C1-4691-B83C-5C805B33A833}"/>
    <hyperlink ref="F41" r:id="rId34" xr:uid="{6B9F2379-4D1F-4C5D-9677-0B622769CCAC}"/>
    <hyperlink ref="F45" r:id="rId35" xr:uid="{B29252CB-4F4F-4ED0-A6B8-CFB5E19E9078}"/>
    <hyperlink ref="F46" r:id="rId36" xr:uid="{3D308138-BADA-40A5-AD02-735E31F1F11B}"/>
    <hyperlink ref="F48" r:id="rId37" display="Прикормка для рыбалки" xr:uid="{542B6B59-0EFB-4294-8D5D-E1D0C531EEBA}"/>
    <hyperlink ref="F49" r:id="rId38" xr:uid="{12998AA4-DFE6-4653-8FC3-337429270BFA}"/>
    <hyperlink ref="F47" r:id="rId39" xr:uid="{DB7FE197-09B0-456F-B869-BCE51B7A2DCC}"/>
    <hyperlink ref="F50" r:id="rId40" xr:uid="{BF555E95-BFCB-4002-BA7B-863479EE26C0}"/>
    <hyperlink ref="F51" r:id="rId41" xr:uid="{92A96988-8B68-4978-B5FA-0E3E4019C273}"/>
    <hyperlink ref="F52" r:id="rId42" xr:uid="{F688FAA7-B989-4B8F-9EDF-936D3324752B}"/>
    <hyperlink ref="F53" r:id="rId43" display="Discreet" xr:uid="{288E7975-CB37-48F8-B07E-658ADD84AF91}"/>
    <hyperlink ref="F54" r:id="rId44" xr:uid="{1F692DCA-277E-41D9-95AF-EB54FF8B3493}"/>
    <hyperlink ref="F55" r:id="rId45" display="Discreet 0%" xr:uid="{BBA22DFE-BAF1-448C-BBD7-37CB20482D6A}"/>
    <hyperlink ref="F56" r:id="rId46" xr:uid="{59F99374-BC21-4D5B-93D4-FC473F4AEED7}"/>
    <hyperlink ref="F57" r:id="rId47" display="Ккрепление для телека" xr:uid="{266006B2-62CA-49D2-9B3E-E9FA937DABF2}"/>
    <hyperlink ref="F58" r:id="rId48" xr:uid="{A508A1CB-1009-4ADE-AC50-964F02879910}"/>
    <hyperlink ref="F59" r:id="rId49" xr:uid="{83369E93-EA95-45D3-8585-2D885D564F1F}"/>
    <hyperlink ref="F60" r:id="rId50" xr:uid="{FEB1FCE7-4FAE-4487-9B65-0E4113847A1F}"/>
    <hyperlink ref="F61" r:id="rId51" xr:uid="{0ECD4C0C-9DA8-441B-B659-E8177A89C812}"/>
    <hyperlink ref="F62" r:id="rId52" xr:uid="{BD9C4536-D5D0-44B2-AA6F-A7A588CDC4B1}"/>
    <hyperlink ref="F63" r:id="rId53" xr:uid="{FA4900F9-A229-4628-9EC2-4810B3C8C66A}"/>
    <hyperlink ref="F64" r:id="rId54" xr:uid="{D98252C8-A4BB-4C93-987F-364480BFFC0F}"/>
    <hyperlink ref="F65" r:id="rId55" xr:uid="{15EC7A42-8BBD-4633-80C4-EE98FC67DF68}"/>
    <hyperlink ref="F66" r:id="rId56" xr:uid="{B8F88ECB-CF58-4139-B0F0-EB1319126409}"/>
    <hyperlink ref="F67" r:id="rId57" xr:uid="{2C258010-B283-437F-8545-AFA0807FB952}"/>
    <hyperlink ref="F74" r:id="rId58" xr:uid="{88103AE5-A91C-48C0-8161-8603BE52731D}"/>
    <hyperlink ref="F75" r:id="rId59" xr:uid="{50911657-9835-4B6D-8D28-00058C6D17A8}"/>
    <hyperlink ref="F76" r:id="rId60" xr:uid="{2D1D443D-6054-4B1D-B335-4A304B07B3FA}"/>
    <hyperlink ref="F77" r:id="rId61" display="Маркеры с губикой 8 шт" xr:uid="{3F1EBC40-DA5D-4A17-B707-C4D17433CF5E}"/>
    <hyperlink ref="F78" r:id="rId62" xr:uid="{7B367524-48E4-4A3C-B626-3DF5E471F6D1}"/>
    <hyperlink ref="F79" r:id="rId63" xr:uid="{4218AD72-2842-44CE-BD67-B7EBFC6B7FC2}"/>
    <hyperlink ref="F80" r:id="rId64" xr:uid="{11E39380-3260-45F6-BAC8-98830DD6F79D}"/>
    <hyperlink ref="F81" r:id="rId65" xr:uid="{8250EA5B-4779-4EF5-ACA5-FB7404AA8DC9}"/>
    <hyperlink ref="F82" r:id="rId66" xr:uid="{6E3AD4C4-7D34-42A9-A8FF-12A4F433BD73}"/>
    <hyperlink ref="F83" r:id="rId67" xr:uid="{C5F1406C-95BC-49E7-BFEC-119A17A0F54B}"/>
    <hyperlink ref="F87" r:id="rId68" xr:uid="{7082605A-CC48-4235-9888-A396279F76A7}"/>
    <hyperlink ref="F90" r:id="rId69" xr:uid="{89B8A96B-FAAC-4038-B67A-2A57E198BE03}"/>
    <hyperlink ref="F89" r:id="rId70" xr:uid="{3172A632-1244-4CE6-9776-5C30BA605229}"/>
    <hyperlink ref="F72" r:id="rId71" xr:uid="{40AACD6B-1C92-487E-B27B-E929937C9AFD}"/>
    <hyperlink ref="F73" r:id="rId72" display="Ершики зубные" xr:uid="{6389A47B-04AB-4417-9F96-FBE7F8741537}"/>
    <hyperlink ref="F92" r:id="rId73" xr:uid="{6D5B7ABA-EABD-4495-B4C8-582838F745BD}"/>
    <hyperlink ref="F99" r:id="rId74" xr:uid="{CBD79FE0-A0ED-408A-99DC-3D06D7BCFE10}"/>
    <hyperlink ref="F97" r:id="rId75" xr:uid="{6E3D3DE3-5A4A-4A78-9DD2-EAF168D55B6D}"/>
    <hyperlink ref="F98" r:id="rId76" xr:uid="{5C39EC34-05B6-4197-BB9F-BD71D85949DC}"/>
    <hyperlink ref="F100" r:id="rId77" xr:uid="{38D2ADC7-FBB1-4206-9FD0-C761C5B7BABA}"/>
    <hyperlink ref="F101" r:id="rId78" xr:uid="{A4E3CD7F-CC51-4310-BE04-F7137EFF6C7D}"/>
    <hyperlink ref="F103" r:id="rId79" xr:uid="{4D4D4615-B04B-4F90-A6F3-702505F0D524}"/>
    <hyperlink ref="F102" r:id="rId80" xr:uid="{ABD70DD2-E8B6-4EAD-A598-B14D67DD4301}"/>
    <hyperlink ref="F104" r:id="rId81" xr:uid="{3E4B58B6-4CB2-4245-B76B-D03516208844}"/>
    <hyperlink ref="F105" r:id="rId82" xr:uid="{EE0C94E4-E0FD-48FA-B73B-2FEC6207F5D3}"/>
    <hyperlink ref="F108" r:id="rId83" xr:uid="{6479C845-7CD9-4752-AFE8-A40C1572EF8F}"/>
    <hyperlink ref="F107" r:id="rId84" xr:uid="{9140C1FD-22E0-4D79-8F33-974D361DD8E6}"/>
    <hyperlink ref="F106" r:id="rId85" xr:uid="{3055B5C5-7EE4-49DC-AD75-8BCA948200DD}"/>
    <hyperlink ref="F109" r:id="rId86" xr:uid="{10DC37DB-3D01-4882-B084-BE3DCC1F6AC8}"/>
    <hyperlink ref="F110" r:id="rId87" display="Павловский платок" xr:uid="{F21132C2-11A0-44B1-B937-0DB307C3F39F}"/>
    <hyperlink ref="F111" r:id="rId88" xr:uid="{2A562DB2-8C31-4C10-8AF3-B63FC06807A5}"/>
    <hyperlink ref="F112" r:id="rId89" xr:uid="{7CBB87FE-DBC5-479E-8EB8-059FB71397A3}"/>
    <hyperlink ref="F113" r:id="rId90" xr:uid="{9ED467FC-CA37-4294-B874-6B32844CB987}"/>
    <hyperlink ref="F114" r:id="rId91" xr:uid="{4C045BC8-D28C-4211-8A9E-2372FF3E3BD3}"/>
    <hyperlink ref="F115" r:id="rId92" xr:uid="{69E8E75D-A840-4609-9E94-D780E7916F98}"/>
    <hyperlink ref="F116" r:id="rId93" xr:uid="{CBF9D3F1-F6FB-4E76-AE9C-9D40C1064943}"/>
    <hyperlink ref="F117" r:id="rId94" xr:uid="{D8576B7A-17F3-415A-9A2F-BD3DCC8245B1}"/>
    <hyperlink ref="F118" r:id="rId95" xr:uid="{BA6263AA-9B1F-4D66-8FE1-A57059C0ADA8}"/>
    <hyperlink ref="F119" r:id="rId96" xr:uid="{6AB44C05-F066-417B-A5AE-655D7AB826AB}"/>
    <hyperlink ref="F120" r:id="rId97" xr:uid="{06655796-0498-4DB1-BB94-D5853564C4A0}"/>
    <hyperlink ref="F121" r:id="rId98" xr:uid="{80D93A5C-4E3B-45FE-9635-C48DFD7E08E7}"/>
    <hyperlink ref="F122" r:id="rId99" xr:uid="{C0537CF6-853D-4891-B250-5D3E7C60A8AD}"/>
    <hyperlink ref="F124" r:id="rId100" xr:uid="{DD366725-A940-4564-A76E-BF418DF58EDD}"/>
    <hyperlink ref="F123" r:id="rId101" xr:uid="{2B916540-B9E8-48A7-85E9-CD5D7E920753}"/>
    <hyperlink ref="F125" r:id="rId102" xr:uid="{78ED7F43-F9F9-4238-811F-CAFC43A5FF93}"/>
    <hyperlink ref="F126" r:id="rId103" xr:uid="{67D86CCD-75C3-4A35-9BDA-A4CC68DBF722}"/>
    <hyperlink ref="F127" r:id="rId104" xr:uid="{B0161D17-7CA7-437C-B644-F59B9D4C3F3F}"/>
    <hyperlink ref="F128" r:id="rId105" xr:uid="{CD2FD527-C11C-4AF0-B6D4-2B71B2DBE1DB}"/>
    <hyperlink ref="F129" r:id="rId106" xr:uid="{55B8EFFE-FEC8-446E-82C4-A8503D7525B9}"/>
    <hyperlink ref="F130" r:id="rId107" xr:uid="{38C953DC-1BFA-4FE0-8F73-BACD68975A23}"/>
    <hyperlink ref="F131" r:id="rId108" xr:uid="{A2A9424C-E8A7-454B-AEEE-16EDF9F178EF}"/>
    <hyperlink ref="F132" r:id="rId109" xr:uid="{5DBA2334-E901-42FB-9FFE-D77820EA2872}"/>
    <hyperlink ref="F133" r:id="rId110" xr:uid="{0345BA2A-49D1-47AD-9BD6-613A67F01A8E}"/>
    <hyperlink ref="F134" r:id="rId111" xr:uid="{87700629-581B-4FFA-8C64-A80403F75B38}"/>
    <hyperlink ref="F145" r:id="rId112" xr:uid="{EF01C723-97CE-408A-A9B0-EDC477366DFB}"/>
    <hyperlink ref="F151" r:id="rId113" xr:uid="{FB544D9D-9FBA-474B-9C9B-63AE7EC90CD1}"/>
    <hyperlink ref="F150" r:id="rId114" xr:uid="{C479AF81-8C85-4F64-8190-DFDC14728567}"/>
    <hyperlink ref="F148" r:id="rId115" xr:uid="{81A25D26-9509-4246-A7EB-ECA73DA6DA35}"/>
    <hyperlink ref="F147" r:id="rId116" xr:uid="{DB4C7489-C128-4C35-87A0-247931315DCA}"/>
    <hyperlink ref="F146" r:id="rId117" xr:uid="{E7791C24-9F84-4387-BDA8-96100B191C83}"/>
    <hyperlink ref="F152" r:id="rId118" xr:uid="{55F5EB68-AC8E-4D2D-A1EB-BA946396756D}"/>
    <hyperlink ref="F153" r:id="rId119" xr:uid="{9DF9E67F-478A-4844-A997-6A1FE42F8D53}"/>
    <hyperlink ref="F154" r:id="rId120" xr:uid="{D7247AF9-3D71-4B33-B285-B2B7D0FCBD3D}"/>
    <hyperlink ref="F149" r:id="rId121" xr:uid="{826A8191-D6DD-4C13-A2B7-6956FFFF3E19}"/>
    <hyperlink ref="F155" r:id="rId122" xr:uid="{584458DE-7CAD-417C-8C52-B962A99707C4}"/>
    <hyperlink ref="F156" r:id="rId123" xr:uid="{40F40989-38DD-4B18-A4C7-85129B38B5AC}"/>
    <hyperlink ref="F157" r:id="rId124" xr:uid="{110B2E6D-ADF9-421F-BB6A-D5F6A860C641}"/>
    <hyperlink ref="F158" r:id="rId125" xr:uid="{B3AD6D2F-B88E-46FD-B27D-390C6A87D16D}"/>
    <hyperlink ref="F159" r:id="rId126" xr:uid="{3091AF0F-F54A-41AF-8781-BC0F9A21D6BD}"/>
    <hyperlink ref="F160" r:id="rId127" xr:uid="{9B7EC764-FDC2-43BA-8672-3E8BA6A3883F}"/>
    <hyperlink ref="F163" r:id="rId128" xr:uid="{B327B535-F8EB-4EC0-A749-5933BE423B6D}"/>
    <hyperlink ref="F164" r:id="rId129" xr:uid="{07251F5A-A5F9-497C-BE60-178016F9E773}"/>
    <hyperlink ref="F165" r:id="rId130" xr:uid="{C161EA50-D461-4C79-B340-F397356B2F5A}"/>
    <hyperlink ref="F166" r:id="rId131" xr:uid="{B973C4A9-7993-4D93-AB4A-D4BC4F19D3CE}"/>
    <hyperlink ref="F167" r:id="rId132" xr:uid="{7026895C-6E01-4D1C-98BA-7D8A22104728}"/>
    <hyperlink ref="F168" r:id="rId133" xr:uid="{89884E53-F15D-491F-9085-C09DD7B0D583}"/>
    <hyperlink ref="F169" r:id="rId134" xr:uid="{5981A23F-08E4-41EA-AA5D-7E3F62247318}"/>
    <hyperlink ref="F170" r:id="rId135" xr:uid="{C0B708FA-F8EB-4CEA-8E1D-540AA9CA0CDC}"/>
    <hyperlink ref="F171" r:id="rId136" xr:uid="{88E09A4D-BF25-4F28-B928-A81D1A3921C6}"/>
    <hyperlink ref="F172" r:id="rId137" xr:uid="{8259254E-006D-4BF4-8E0A-260AD4750E9C}"/>
    <hyperlink ref="F174" r:id="rId138" xr:uid="{9E6E7A6B-8467-4E18-BE40-B710017A0703}"/>
    <hyperlink ref="F175" r:id="rId139" xr:uid="{EC772827-B7DC-4339-8426-591DFF2F4C3F}"/>
    <hyperlink ref="F176" r:id="rId140" xr:uid="{58FF2D37-231D-4258-A56D-DED582D6D96E}"/>
    <hyperlink ref="F177" r:id="rId141" xr:uid="{0C9A3781-F1EF-48AD-A852-923975BA222F}"/>
    <hyperlink ref="F178" r:id="rId142" xr:uid="{7ACB3297-DA0B-45A5-A1E5-8ADCF4FCDB0A}"/>
    <hyperlink ref="F179" r:id="rId143" xr:uid="{82045E55-4AD4-4742-A6DB-1E8F63525F95}"/>
    <hyperlink ref="F180" r:id="rId144" xr:uid="{2EC8B016-3029-4643-AD72-0FB4A07E2D7E}"/>
    <hyperlink ref="F181" r:id="rId145" xr:uid="{67D666BB-C099-4798-9835-1054B9B4866B}"/>
    <hyperlink ref="F182" r:id="rId146" xr:uid="{A95A341D-CD98-4A03-9346-4AABFD32FDD1}"/>
    <hyperlink ref="F183" r:id="rId147" xr:uid="{0626563A-8297-40A1-A148-880C58B4F86D}"/>
    <hyperlink ref="F184" r:id="rId148" xr:uid="{7A91DB47-C585-4E98-83DF-A06533E0F0FD}"/>
    <hyperlink ref="F185" r:id="rId149" xr:uid="{1A08B5A0-5683-4822-A00B-6986F9190A2D}"/>
    <hyperlink ref="F186" r:id="rId150" xr:uid="{1A411AB4-8963-42F5-9DDD-F2B4708B0A04}"/>
    <hyperlink ref="F187" r:id="rId151" xr:uid="{4F4AF923-A87F-4391-B1B1-20A1FF2B12A7}"/>
    <hyperlink ref="F188" r:id="rId152" xr:uid="{ED5A9E0F-0B83-40B9-A3BC-7167B236753F}"/>
    <hyperlink ref="F189" r:id="rId153" xr:uid="{647A0409-C894-46C5-B076-B1D5AC0682E5}"/>
    <hyperlink ref="F190" r:id="rId154" xr:uid="{D604AFE0-10BA-4CB5-927A-FD5EC0E0263D}"/>
    <hyperlink ref="F191" r:id="rId155" xr:uid="{AE81B07D-9E86-4C7F-AEF5-5EBF0A99E687}"/>
    <hyperlink ref="F193" r:id="rId156" xr:uid="{D9E97DBD-8365-4B75-B10B-403B7E3E0A2B}"/>
    <hyperlink ref="F192" r:id="rId157" xr:uid="{E6DB48F2-BCC3-43F7-A3CB-A38D6A24CFD5}"/>
    <hyperlink ref="F194" r:id="rId158" xr:uid="{919FB86A-2679-4210-88A4-842862C28982}"/>
    <hyperlink ref="F195" r:id="rId159" xr:uid="{83E343E2-F02D-440A-B063-6081D96A9ABE}"/>
    <hyperlink ref="F196" r:id="rId160" xr:uid="{0C9A35CE-4A4D-48C7-8CAD-9E210D25FBAD}"/>
    <hyperlink ref="F197" r:id="rId161" xr:uid="{BA4009DF-5722-4074-86C1-C3CC80FDBEF6}"/>
    <hyperlink ref="F200" r:id="rId162" display="Пряжа Пехорка Детская" xr:uid="{8B50B2E5-1FE6-4E8E-9536-04C3B64DF1CB}"/>
    <hyperlink ref="F201" r:id="rId163" xr:uid="{7FC77189-FB43-43D2-8897-3620BC819200}"/>
    <hyperlink ref="F204" r:id="rId164" xr:uid="{631E30C7-88EF-4758-8EF6-EB8AD1C30147}"/>
    <hyperlink ref="F203" r:id="rId165" xr:uid="{F1C8D8B0-8CED-4525-9C79-364962C27A73}"/>
    <hyperlink ref="F205" r:id="rId166" xr:uid="{3B7C704E-DD98-405B-BF90-8501FC10D0B9}"/>
    <hyperlink ref="F206" r:id="rId167" xr:uid="{08170223-BC1F-4082-AD27-A608806703E8}"/>
    <hyperlink ref="F207" r:id="rId168" xr:uid="{0F344C59-5BD5-4E8E-B7D5-B389E2F2EF04}"/>
    <hyperlink ref="F208" r:id="rId169" xr:uid="{8CDFDF8E-8206-43C3-8581-934562EE63B3}"/>
    <hyperlink ref="F209" r:id="rId170" xr:uid="{502503E7-FA34-444B-99FD-53CA7036D534}"/>
    <hyperlink ref="F210" r:id="rId171" xr:uid="{14BE7AEC-D6D2-4BFF-9705-3A7205089CEA}"/>
    <hyperlink ref="F211" r:id="rId172" xr:uid="{3B2855B7-A18F-45CE-8ED8-EB852710C130}"/>
    <hyperlink ref="F212" r:id="rId173" xr:uid="{C195B9EF-F60C-4821-A7D7-432F16D123E9}"/>
    <hyperlink ref="F213" r:id="rId174" xr:uid="{A3B4F1B3-8B4A-4F8D-ACD6-4A631960F820}"/>
    <hyperlink ref="F214" r:id="rId175" xr:uid="{0BEF193F-0522-44B6-964F-AC845CD2C500}"/>
    <hyperlink ref="F215" r:id="rId176" xr:uid="{D7A69DE2-EA21-48EB-A02C-5A987B19E7DB}"/>
    <hyperlink ref="F216" r:id="rId177" xr:uid="{B4F60F12-48F7-4E71-99D9-5E48291A8E94}"/>
    <hyperlink ref="F217" r:id="rId178" display="Чехол iPhone зеленый" xr:uid="{B898B270-3136-43EB-B699-543357C4420E}"/>
    <hyperlink ref="F218" r:id="rId179" xr:uid="{7718AC2F-3B4B-4B3C-A351-E9F005DE10AD}"/>
    <hyperlink ref="F219" r:id="rId180" display="Крем тональный" xr:uid="{DE9CE682-5F59-485C-8CA5-F4CBD57F779A}"/>
    <hyperlink ref="F220" r:id="rId181" xr:uid="{39AC1FE9-75D3-4CFF-971D-A7F5DFC0C02D}"/>
    <hyperlink ref="F221" r:id="rId182" xr:uid="{1FF81A47-62AC-475E-8096-D7D44E38BB6A}"/>
    <hyperlink ref="F222" r:id="rId183" xr:uid="{A74E5BF2-C52A-4CF0-8F4C-F9617D438050}"/>
    <hyperlink ref="F223" r:id="rId184" xr:uid="{46447C98-2003-4E79-A5C1-053D667793F1}"/>
    <hyperlink ref="F224" r:id="rId185" xr:uid="{D52D671E-020E-4FA8-B3BB-76CB2E7679D3}"/>
    <hyperlink ref="F225" r:id="rId186" display="Крабики заколка" xr:uid="{6204C843-BCF4-4B46-9230-B828DBA88846}"/>
    <hyperlink ref="F226" r:id="rId187" xr:uid="{D407BAFC-FFDF-4386-A935-A54A669F6BDF}"/>
    <hyperlink ref="F227" r:id="rId188" xr:uid="{9D240BCE-A38D-477B-A254-69F2D1FE146B}"/>
    <hyperlink ref="F228" r:id="rId189" xr:uid="{90E9612F-0275-44AB-B34D-6C6E8EB2E6CB}"/>
    <hyperlink ref="F229" r:id="rId190" xr:uid="{91ED7593-D376-41ED-ABF6-C8868731C8FB}"/>
    <hyperlink ref="F230" r:id="rId191" xr:uid="{485BDDCE-11D9-49FD-ACD8-5EA95BBA26ED}"/>
    <hyperlink ref="F233" r:id="rId192" xr:uid="{168EA0FD-DDA7-4536-84DF-2DBFBC88EC7F}"/>
    <hyperlink ref="F232" r:id="rId193" xr:uid="{903A83AC-FB3A-40A3-A141-BDB6DBCC43D9}"/>
    <hyperlink ref="F231" r:id="rId194" xr:uid="{3A9F2186-CAA0-4DCF-AFC4-23C5E71C220E}"/>
    <hyperlink ref="F234" r:id="rId195" xr:uid="{5B9061B5-8118-45D6-984D-87C036D887C5}"/>
    <hyperlink ref="F235" r:id="rId196" xr:uid="{03D44474-BFAA-45A8-87BA-10A20EA4C2AD}"/>
    <hyperlink ref="F236" r:id="rId197" xr:uid="{1C73A6F1-2FCF-4057-921D-9294D8BDDAFC}"/>
    <hyperlink ref="F237" r:id="rId198" xr:uid="{E175628D-8231-4BA2-96BD-5A6A5B2896AB}"/>
    <hyperlink ref="F238" r:id="rId199" xr:uid="{24FBCF5E-ECEC-47C3-8D13-82612EC60DD0}"/>
    <hyperlink ref="F239" r:id="rId200" xr:uid="{2B6A26EA-6C0D-409F-9631-B329C049B619}"/>
    <hyperlink ref="F240" r:id="rId201" xr:uid="{21572553-8EBB-46CB-8C1B-1D4871A0B351}"/>
    <hyperlink ref="F254" r:id="rId202" xr:uid="{AEC88525-D144-4ABB-8696-9BD464FF9151}"/>
    <hyperlink ref="F255" r:id="rId203" xr:uid="{D392B52A-9252-4079-8A6B-4669139993A7}"/>
    <hyperlink ref="F256" r:id="rId204" xr:uid="{7FF711CF-121C-4802-8593-6E7ABA1D419A}"/>
    <hyperlink ref="F257" r:id="rId205" xr:uid="{526434C0-8B7A-4328-982F-3BDC432B9D55}"/>
    <hyperlink ref="F258" r:id="rId206" xr:uid="{41A350F8-75A5-4D25-8483-260FE6C3A746}"/>
    <hyperlink ref="F259" r:id="rId207" xr:uid="{E39753B8-EB03-40B7-A08C-7E591A928835}"/>
    <hyperlink ref="F260" r:id="rId208" xr:uid="{54B0F0B9-3773-4252-A883-129C676D1753}"/>
    <hyperlink ref="F262" r:id="rId209" xr:uid="{F39F2F79-7EE2-45E2-BD36-A1A011149560}"/>
    <hyperlink ref="F263" r:id="rId210" xr:uid="{2E63A843-6E39-45A0-B567-5FE80CF58608}"/>
    <hyperlink ref="F264" r:id="rId211" xr:uid="{D1810360-2065-4A10-85F3-542D6DE30C63}"/>
    <hyperlink ref="F261" r:id="rId212" xr:uid="{2F99D7DF-D03A-4F90-8E16-419C5E157F1B}"/>
    <hyperlink ref="F265" r:id="rId213" xr:uid="{83B53D33-1C2E-4EF0-8DBC-0C365C405E99}"/>
    <hyperlink ref="F266" r:id="rId214" xr:uid="{8425725A-F229-45C7-8CED-2DD36897481D}"/>
    <hyperlink ref="F267" r:id="rId215" xr:uid="{05C3AC83-B92B-43AB-8681-2FD95B655D0B}"/>
    <hyperlink ref="F268" r:id="rId216" xr:uid="{E0A6B51B-AFD8-4E8B-980C-143C29A18163}"/>
    <hyperlink ref="F269" r:id="rId217" xr:uid="{DA922C67-1EBA-4387-816C-0EDDBBF35E52}"/>
    <hyperlink ref="F270" r:id="rId218" xr:uid="{C075E626-BA7B-4899-8674-550B64894016}"/>
    <hyperlink ref="F271" r:id="rId219" xr:uid="{A24ABDE0-ACDA-48EE-9576-A8A48805C131}"/>
    <hyperlink ref="F272" r:id="rId220" xr:uid="{3F47819F-D976-457B-B5D5-589C42D2D000}"/>
    <hyperlink ref="F273" r:id="rId221" display="Коючки слесарные" xr:uid="{3049F753-DA7A-4BF9-B2DE-5F33AE5E7FDF}"/>
    <hyperlink ref="F274" r:id="rId222" xr:uid="{C11D4D6D-B36A-4C64-9D84-703F5070C9CA}"/>
    <hyperlink ref="F275" r:id="rId223" xr:uid="{BF946DED-EB84-43F9-A44F-B456D5C439CE}"/>
    <hyperlink ref="F276" r:id="rId224" xr:uid="{A7B5C361-F876-4E43-A354-FFC6C1E8131B}"/>
    <hyperlink ref="F277" location="Лазерный уровень 4D со штативом 16 лучей, Лазерный уровень 4D https://www.wildberries.ru/catalog/208316859/detail.aspx" display="Лазерный уровень" xr:uid="{98A3CCA8-4252-4314-BABA-3D41BAAC4A21}"/>
    <hyperlink ref="F278" location="Запертая гробница Книга 2 Харроу из Девятого дома, Эксмо https://www.wildberries.ru/catalog/166494224/detail.aspx" display="Книга запретная гробница" xr:uid="{668A208E-E589-456E-B3D3-6DE030310044}"/>
    <hyperlink ref="F279" location="Первому игроку приготовиться, Издательство АСТ https://www.wildberries.ru/catalog/197297119/detail.aspx" display="Книга первому игроку приготовиться" xr:uid="{4F03E9EA-E501-4FAA-AF29-CB127519DCC6}"/>
    <hyperlink ref="F280" location="Набор Царство греха+Царство проклятых+Царство страха, Издательство АСТ https://www.wildberries.ru/catalog/166888086/detail.aspx" display="Книга царство греха" xr:uid="{B391214E-E242-4498-BE57-9DA1F01B314B}"/>
    <hyperlink ref="F281" r:id="rId225" xr:uid="{B5FB65AA-71CC-47FB-A9C9-560137AC8254}"/>
    <hyperlink ref="F282" r:id="rId226" display="Платье трикотажное" xr:uid="{5E7F1194-6379-4CB3-975D-4918039E547E}"/>
    <hyperlink ref="F283" r:id="rId227" xr:uid="{7345C668-CA0D-4E1C-95C5-0063537DCCD3}"/>
    <hyperlink ref="F284" r:id="rId228" xr:uid="{F913BDF6-E204-4992-B7BF-B46BB884895D}"/>
    <hyperlink ref="F285" r:id="rId229" xr:uid="{99DB4F6B-0F0B-4429-8DB4-4FE8E690F6E4}"/>
    <hyperlink ref="F286" r:id="rId230" xr:uid="{0C20B17A-0C46-4A49-AE60-72BFF6811D4D}"/>
    <hyperlink ref="F287" r:id="rId231" xr:uid="{F165CEAD-1ECC-418D-AAC8-2CBE8B8C385D}"/>
    <hyperlink ref="F288" r:id="rId232" xr:uid="{A16626F1-A0B9-474A-878E-8E64B09FFC0C}"/>
    <hyperlink ref="F289" r:id="rId233" xr:uid="{726D2DCA-708A-49EC-94F7-AD3CA8A4FC02}"/>
    <hyperlink ref="F290" r:id="rId234" xr:uid="{80A05F5F-A5C4-446D-95D6-A430EE6EA6A5}"/>
    <hyperlink ref="F291" r:id="rId235" xr:uid="{FD0B957D-4768-4F69-AF2E-C109182F0883}"/>
    <hyperlink ref="F294" r:id="rId236" xr:uid="{42ACEF01-BA63-4C10-86A5-D22BC6F5C841}"/>
    <hyperlink ref="F295" r:id="rId237" display="Миксер уцхонный" xr:uid="{7E326FBB-B42A-4463-9C7A-27D1381DCF67}"/>
    <hyperlink ref="F296" r:id="rId238" xr:uid="{78262429-2B46-4CEF-896D-455E7706AE11}"/>
    <hyperlink ref="F297" r:id="rId239" xr:uid="{45F22A2F-1D58-4FB0-A9AB-A800ED16CD0D}"/>
    <hyperlink ref="F298" r:id="rId240" xr:uid="{7661542E-743F-4140-A679-189F66FE7577}"/>
    <hyperlink ref="F299" r:id="rId241" xr:uid="{8CDA01F9-80D6-4DE1-B8B1-BCAC9D711426}"/>
    <hyperlink ref="F300" r:id="rId242" display="Чехол для Teclast T50" xr:uid="{EBB08951-C7DF-44DE-8BBD-4B6122201860}"/>
    <hyperlink ref="F301" r:id="rId243" xr:uid="{104EF018-277F-427E-B81A-9BE3CE3C8B2A}"/>
    <hyperlink ref="F302" r:id="rId244" xr:uid="{C2D891EE-CF7B-4EB4-9E77-027873A73FFB}"/>
    <hyperlink ref="F303" r:id="rId245" xr:uid="{C471DE5E-5ED8-4370-854A-8529CD3DBA1A}"/>
    <hyperlink ref="F310" r:id="rId246" display="Набо шестигранников" xr:uid="{FAFDAC59-7214-47BE-AA44-6A2C9047CB39}"/>
    <hyperlink ref="F311" r:id="rId247" xr:uid="{166E4431-D477-47AA-AF57-CA188E9F2F5F}"/>
    <hyperlink ref="F312" r:id="rId248" xr:uid="{F7B97003-EBC8-4B43-BDFD-5A45E5E9C2B7}"/>
    <hyperlink ref="F313" r:id="rId249" xr:uid="{26E961AE-A9D4-4EBD-86B6-F6D667AC99FF}"/>
    <hyperlink ref="F314" r:id="rId250" xr:uid="{FE95866A-9831-4F61-AC4A-7346ED9420B8}"/>
    <hyperlink ref="F315" r:id="rId251" xr:uid="{E4CA30D8-8409-4DF0-BD39-9A2BAB051452}"/>
    <hyperlink ref="F316" r:id="rId252" xr:uid="{9BF0D9CD-330E-4A97-8EAC-E87DEBD8FF87}"/>
    <hyperlink ref="F317" r:id="rId253" xr:uid="{E52C55A2-99D4-41F4-97F5-06FB54E63FA0}"/>
    <hyperlink ref="F318" r:id="rId254" xr:uid="{E403ED3F-5CF6-4066-81BC-43B1B8C17684}"/>
    <hyperlink ref="F320" r:id="rId255" xr:uid="{231F184A-7644-422A-8381-77EBC8CCB205}"/>
    <hyperlink ref="F321" r:id="rId256" xr:uid="{D88A0E77-767B-49E4-B142-619246ABEE09}"/>
    <hyperlink ref="F322" r:id="rId257" xr:uid="{5BDFF19F-9C2D-4808-89BA-1765CE759861}"/>
    <hyperlink ref="F323" r:id="rId258" xr:uid="{7CFC02CC-EA49-4F11-9B5F-622C79207BD7}"/>
    <hyperlink ref="F319" r:id="rId259" xr:uid="{95F820A1-F511-4F92-8CB8-DCFE160B92EB}"/>
    <hyperlink ref="F327" r:id="rId260" xr:uid="{0F956EAA-2C16-4914-ABB3-B8AD6BA6E979}"/>
    <hyperlink ref="F328" r:id="rId261" xr:uid="{4148E179-2F6F-4FAE-8003-388EED81294A}"/>
    <hyperlink ref="F329" r:id="rId262" display="Пряжа плюшевая" xr:uid="{55DE974D-E7A7-47E0-A32B-CCD75F7979CB}"/>
    <hyperlink ref="F330" r:id="rId263" xr:uid="{7257555F-C6A3-46A3-8972-644175DEE395}"/>
    <hyperlink ref="F332" r:id="rId264" xr:uid="{3A0008DE-36EF-4CF4-A13D-FBD2783A3FBA}"/>
    <hyperlink ref="F333" r:id="rId265" display="помада стойкая 10 тон" xr:uid="{EB47F2BE-4374-4551-8EF3-F81F6CBFE2C0}"/>
    <hyperlink ref="F334" r:id="rId266" xr:uid="{79646861-874A-43D2-A23E-3349FD179F00}"/>
    <hyperlink ref="F335" r:id="rId267" xr:uid="{6507A6BE-937E-4AF4-8BD5-F71FC4EAE214}"/>
    <hyperlink ref="F336" r:id="rId268" xr:uid="{60E0E98F-8288-4E11-AFA7-FA7954B4C7DE}"/>
    <hyperlink ref="F337" r:id="rId269" xr:uid="{193E1373-F91E-4EBE-9091-2E422735BA4F}"/>
    <hyperlink ref="F338" r:id="rId270" xr:uid="{BDBB1C42-EBDB-47BD-947B-8EF161053745}"/>
    <hyperlink ref="F339" r:id="rId271" xr:uid="{DD396A11-6C46-49D3-A103-7A2B1304B4CF}"/>
    <hyperlink ref="F341" r:id="rId272" xr:uid="{13D93653-4D3B-4B34-8C83-EE3FA79B42C8}"/>
    <hyperlink ref="F342" r:id="rId273" xr:uid="{0A73503B-E652-492D-9FA3-07132D4EBF04}"/>
    <hyperlink ref="F343" r:id="rId274" xr:uid="{43BB7AD2-7B42-4E9E-9D4A-A89ABEC2ADDA}"/>
    <hyperlink ref="F344" r:id="rId275" xr:uid="{1CABA84A-0190-4C57-ADBC-1FAE1B12E3E5}"/>
    <hyperlink ref="F345" r:id="rId276" xr:uid="{604215F4-032E-4C82-A5D1-A024524B2FD9}"/>
    <hyperlink ref="F346" r:id="rId277" xr:uid="{E4157939-DFC0-4FFC-8D58-45392C7D7BD0}"/>
    <hyperlink ref="F340" r:id="rId278" display="Есть сила богатырская" xr:uid="{6B49D8A4-8465-4BBD-9C04-55B8FFF43F8F}"/>
    <hyperlink ref="F347" r:id="rId279" xr:uid="{2D29B894-35EF-4A23-AF82-F9BCAEC5F1F9}"/>
    <hyperlink ref="F348" r:id="rId280" xr:uid="{B2A9AE52-5CED-42F2-9F32-B3BB3E5189B8}"/>
    <hyperlink ref="F349" r:id="rId281" xr:uid="{E825FC0F-F692-4DD0-8C9E-A7617009DB63}"/>
    <hyperlink ref="F350" r:id="rId282" display="Книжка на елочку …" xr:uid="{D8325719-844F-4184-AB86-B689D17A62B7}"/>
    <hyperlink ref="F351" r:id="rId283" xr:uid="{422AB1E9-CCFD-4556-815F-09C405194025}"/>
    <hyperlink ref="F352" r:id="rId284" xr:uid="{812A197B-6085-40F7-838B-8225D275A9FD}"/>
    <hyperlink ref="F353" r:id="rId285" xr:uid="{928577FD-C323-483B-A96C-CFA6AD8B4C57}"/>
    <hyperlink ref="F354" r:id="rId286" xr:uid="{F7528745-4837-4281-BF72-13B6EF0C606D}"/>
    <hyperlink ref="F355" r:id="rId287" xr:uid="{B3354044-0776-489F-B706-D63036084EEF}"/>
    <hyperlink ref="F357" r:id="rId288" xr:uid="{DC5C5FA1-B7CB-44B0-91D6-775253B43B2E}"/>
    <hyperlink ref="F358" r:id="rId289" xr:uid="{94516EFE-C1FB-4558-B1F7-4FB26084B281}"/>
    <hyperlink ref="F359" r:id="rId290" xr:uid="{1E58B262-2303-4ECF-93B3-EE392031C002}"/>
    <hyperlink ref="F360" r:id="rId291" xr:uid="{C24C99D3-46B9-4FD3-8460-599D61EFA2F0}"/>
    <hyperlink ref="F361" r:id="rId292" xr:uid="{8C7FE0EA-C9EC-4EFB-A189-53ED553FD741}"/>
    <hyperlink ref="F362" r:id="rId293" xr:uid="{212013D6-4CF6-4BC1-9C17-F95EAA012520}"/>
    <hyperlink ref="F363" r:id="rId294" xr:uid="{3ABAACDE-3793-4A8D-B09A-943196CEDA0E}"/>
    <hyperlink ref="F365" r:id="rId295" xr:uid="{3B5D28B4-B0F1-402A-BFE8-2E09DAD52280}"/>
    <hyperlink ref="F364" r:id="rId296" xr:uid="{6400909C-741A-4CB1-B7A1-3D4742C4947D}"/>
    <hyperlink ref="F366" r:id="rId297" xr:uid="{3BBC5DAE-9E3B-4148-8298-E443D2802C10}"/>
    <hyperlink ref="F367" r:id="rId298" xr:uid="{F1287FB3-1E5A-4CDE-BFAB-444E6CEBDFF5}"/>
    <hyperlink ref="F368" r:id="rId299" xr:uid="{4B7C6B72-77DD-483C-98C9-87B045EFCA95}"/>
    <hyperlink ref="F369" r:id="rId300" xr:uid="{A8DAE4E3-9885-4809-BF0A-49DCE04DA3E8}"/>
    <hyperlink ref="F370" r:id="rId301" xr:uid="{EC968403-134A-485D-B4C3-1A337B20DD43}"/>
    <hyperlink ref="F372" r:id="rId302" xr:uid="{96D3363E-5F68-4D8E-AF9F-7A73B4AC6960}"/>
    <hyperlink ref="F371" r:id="rId303" xr:uid="{7BB839EA-BAC5-4D37-95B7-459DFACBDB9B}"/>
    <hyperlink ref="F373" r:id="rId304" xr:uid="{03661320-3C96-4263-AC4C-CDE2D3229F5B}"/>
    <hyperlink ref="F374" r:id="rId305" xr:uid="{E2374A0C-5E9D-4F20-9018-B758E7E26A50}"/>
    <hyperlink ref="F377" r:id="rId306" xr:uid="{72E35F15-65F4-4905-B3DA-479EA12405CE}"/>
    <hyperlink ref="F378" r:id="rId307" display="Диафильм Светлячок" xr:uid="{0D5E5EC6-A8E8-4F05-9DB6-E89F71B19FDA}"/>
    <hyperlink ref="F379" r:id="rId308" xr:uid="{5551DC35-4398-4B8C-B1E5-6DF6FC611F87}"/>
    <hyperlink ref="F380" r:id="rId309" xr:uid="{F8D549DE-8C32-4F44-8BB3-498E9FF442F7}"/>
    <hyperlink ref="F381" r:id="rId310" xr:uid="{B79BB133-B54B-410D-9E52-9842A0DF539F}"/>
    <hyperlink ref="F382" r:id="rId311" xr:uid="{5EA60097-9E67-426A-86E8-F401D00AE95F}"/>
    <hyperlink ref="F383" r:id="rId312" xr:uid="{02C58FA6-BFF5-4516-BDD7-F5558A824A21}"/>
    <hyperlink ref="F384" r:id="rId313" xr:uid="{EFC0F5AD-45CE-4A17-AE81-FA1CE5044BF4}"/>
    <hyperlink ref="F385" r:id="rId314" xr:uid="{C0A1212E-7ECD-4578-8B33-44450AC6AC5B}"/>
    <hyperlink ref="F386" r:id="rId315" xr:uid="{300F2E18-F95D-4296-BEEE-3677560D1C5F}"/>
    <hyperlink ref="F387" r:id="rId316" xr:uid="{5FF7E68D-1CFD-46D6-9B85-EAA5050BA51F}"/>
    <hyperlink ref="F388" r:id="rId317" xr:uid="{89D7711D-5970-4501-A373-E410ADE805D4}"/>
    <hyperlink ref="F389" r:id="rId318" xr:uid="{7F325058-6B6C-41E5-9C1E-4200C0022F71}"/>
    <hyperlink ref="F391" r:id="rId319" xr:uid="{7DD88785-DDF0-4A07-9B63-B447FFFFA769}"/>
    <hyperlink ref="F392" r:id="rId320" xr:uid="{DFBD6A1A-2045-466C-B928-D50B8EDC0202}"/>
    <hyperlink ref="F400" r:id="rId321" xr:uid="{E8742C27-3621-45CB-82B9-7D9AA4A509C8}"/>
    <hyperlink ref="F399" r:id="rId322" xr:uid="{A9C9AB56-9D67-44F6-88A0-14102AA6AFD8}"/>
    <hyperlink ref="F398" r:id="rId323" xr:uid="{16F99166-11AC-4713-BA3B-FB6A521183E1}"/>
    <hyperlink ref="F397" r:id="rId324" xr:uid="{68FE7DAD-6016-4EBC-8E96-8CE9D1C4C45D}"/>
    <hyperlink ref="F396" r:id="rId325" xr:uid="{F1923E41-9150-457F-BAFF-C3E7912A329B}"/>
    <hyperlink ref="F395" r:id="rId326" xr:uid="{BF9173FC-4DE6-4BB4-9328-5C5D8ABC1528}"/>
    <hyperlink ref="F394" r:id="rId327" xr:uid="{AACCBA2F-485A-44CE-94AA-CC7659E8B539}"/>
    <hyperlink ref="F393" r:id="rId328" xr:uid="{0AF96393-BA34-4D46-90AC-704D08E8F914}"/>
    <hyperlink ref="F401" r:id="rId329" xr:uid="{E163D7F4-4D26-47A0-A7D5-A73AA968EA37}"/>
    <hyperlink ref="F402" r:id="rId330" xr:uid="{3A4FE8D0-DF10-44F5-A51D-ADC024E15A2A}"/>
    <hyperlink ref="F403" r:id="rId331" xr:uid="{1962B0F4-33CA-45FB-9482-6E6B803BC02B}"/>
    <hyperlink ref="F404" r:id="rId332" xr:uid="{7FFB5490-8EE4-463C-A4AB-C806901614C8}"/>
    <hyperlink ref="F405" r:id="rId333" xr:uid="{06F30907-87E5-4755-8B16-D311C4F0E108}"/>
    <hyperlink ref="F406" r:id="rId334" xr:uid="{DAAFF970-0B10-4493-B116-D7CBC3CCB02C}"/>
    <hyperlink ref="F410" r:id="rId335" xr:uid="{F52B223C-0AE9-41AB-AF82-8C2D9ACF4ABA}"/>
    <hyperlink ref="F411" r:id="rId336" xr:uid="{3B7A8FC1-D51F-4AC8-BE15-0730858A1C1F}"/>
    <hyperlink ref="F412" r:id="rId337" xr:uid="{EE39CBD7-58D6-4187-BA35-908A8FDA50F8}"/>
    <hyperlink ref="F413" r:id="rId338" xr:uid="{4CC5A141-CD8F-4134-8D5F-EF258B589566}"/>
    <hyperlink ref="F414" r:id="rId339" xr:uid="{B33F35F9-8C93-4F91-8559-C0CE2E2050DC}"/>
    <hyperlink ref="F415" r:id="rId340" xr:uid="{D494993A-5B2A-4291-8CF6-9C426D613F95}"/>
    <hyperlink ref="F416" r:id="rId341" xr:uid="{0BE43BD5-D394-41DA-BB63-538803906570}"/>
    <hyperlink ref="F417" r:id="rId342" xr:uid="{09F54FF2-4685-4637-803E-07ACE410428B}"/>
    <hyperlink ref="F418" r:id="rId343" xr:uid="{CAFBA5E5-760C-465A-B7F9-773A819A7FE2}"/>
    <hyperlink ref="F419" r:id="rId344" xr:uid="{6240F34F-6FD6-495C-B470-75FFFD163C5D}"/>
    <hyperlink ref="F420" r:id="rId345" xr:uid="{D3DC943D-67BB-4A46-B9F9-AA5DEFF4A2D8}"/>
    <hyperlink ref="F421" r:id="rId346" xr:uid="{01C2CF7E-2CCF-4804-BDE3-4730330BB35B}"/>
    <hyperlink ref="F422" r:id="rId347" display="Шубка-кофта" xr:uid="{F04AFF86-3F40-476C-AB2A-7F94156E6B2B}"/>
    <hyperlink ref="F423" r:id="rId348" xr:uid="{1F1A5E5E-85F9-4CA6-9888-DFE275905A73}"/>
    <hyperlink ref="F426" r:id="rId349" xr:uid="{B1C5DB17-DAA6-48D4-AF3F-8DBC69AF7630}"/>
    <hyperlink ref="F425" r:id="rId350" xr:uid="{F5F17889-D342-4EDE-911D-401A30A35F4E}"/>
    <hyperlink ref="F424" r:id="rId351" xr:uid="{0E9491B2-FFCB-4A7F-948E-DC47000AE26D}"/>
    <hyperlink ref="F427" r:id="rId352" xr:uid="{803D52DE-4D24-464E-BD24-C579D300504F}"/>
    <hyperlink ref="F428" r:id="rId353" xr:uid="{D841283F-A29D-49E7-A87C-578648688481}"/>
    <hyperlink ref="F429" r:id="rId354" xr:uid="{D70EAB60-63D8-4D31-B2A4-D48B5C5CE70D}"/>
    <hyperlink ref="F430" r:id="rId355" xr:uid="{8837533C-BF54-4C4E-9E7A-EF5864422D87}"/>
    <hyperlink ref="F431" r:id="rId356" xr:uid="{86934D00-0953-47EC-AA05-CB65279DEB08}"/>
    <hyperlink ref="F432" r:id="rId357" xr:uid="{438EDF0C-E41E-40B3-ADF1-B821CEAA054B}"/>
    <hyperlink ref="F433" r:id="rId358" xr:uid="{9FA0A52F-C553-45C1-8028-72F9AC3DA2B7}"/>
    <hyperlink ref="F434" r:id="rId359" xr:uid="{8F0A70AD-8828-42DB-BC44-E7C288252AA5}"/>
    <hyperlink ref="F435" r:id="rId360" xr:uid="{FA098184-2AE6-4AEF-A97C-A308980A0242}"/>
    <hyperlink ref="F436" r:id="rId361" display="Наклейка статическая двухсторонняя" xr:uid="{45C053D4-7F40-4FB1-9BA1-A2CE9D5222AE}"/>
    <hyperlink ref="F437" r:id="rId362" xr:uid="{B9A5CDBD-4825-4E62-9568-DDADC14F46AE}"/>
    <hyperlink ref="F438" r:id="rId363" xr:uid="{78FEA321-1188-4124-AA55-6DD488FF6D4A}"/>
    <hyperlink ref="F439" r:id="rId364" xr:uid="{10A027F0-6C37-408C-A78B-28E134442B5B}"/>
    <hyperlink ref="F440" r:id="rId365" xr:uid="{65F428C6-DD96-49DF-BA49-96DDDEF2472B}"/>
    <hyperlink ref="F441" r:id="rId366" xr:uid="{57BE9FD4-FC66-4CA8-9AA0-89CB217D254A}"/>
    <hyperlink ref="F442" r:id="rId367" xr:uid="{A71FD370-BE9C-4C24-89D7-AD153A0BABE8}"/>
    <hyperlink ref="F443" r:id="rId368" xr:uid="{CB8BE1A6-481B-4A7E-930E-D8907D6C431F}"/>
    <hyperlink ref="F444" r:id="rId369" xr:uid="{D08700E0-C3A1-4A5F-99E5-0D57CD7D51F7}"/>
    <hyperlink ref="F446" r:id="rId370" xr:uid="{1D75250A-7BF5-4147-8F90-32C89043A916}"/>
    <hyperlink ref="F448" r:id="rId371" display="Глазки для игрушек" xr:uid="{DEBB4B1F-3B98-46E0-A274-B3014DA205BC}"/>
    <hyperlink ref="F449" r:id="rId372" xr:uid="{D149F089-47A2-4521-97FE-6E2D5E1BC6E7}"/>
    <hyperlink ref="F450" r:id="rId373" xr:uid="{A00E969C-B62D-45FE-9CF0-61B049F6414C}"/>
    <hyperlink ref="F451" r:id="rId374" xr:uid="{4A9FAA79-0564-413B-BF00-9D3E4E52D679}"/>
    <hyperlink ref="F452" r:id="rId375" xr:uid="{78339BE6-6CB8-43D8-8F54-7D8B2931CA12}"/>
    <hyperlink ref="F453" r:id="rId376" xr:uid="{01BFDB55-D52D-491C-9DFC-46AB45CFDE62}"/>
    <hyperlink ref="F454" r:id="rId377" xr:uid="{267E17E6-12DF-44AB-8700-29A1BB1AF989}"/>
    <hyperlink ref="F455" r:id="rId378" xr:uid="{4D62290D-BBB9-4867-84A1-84836B11FCD4}"/>
    <hyperlink ref="F456" r:id="rId379" xr:uid="{A663D385-2510-4581-B7AF-D7758BF503FB}"/>
    <hyperlink ref="F457" r:id="rId380" xr:uid="{4406D2B0-A432-4AFC-A823-6F2B2E787808}"/>
    <hyperlink ref="F458" r:id="rId381" xr:uid="{98E2554B-FD24-4D0A-A749-10EFDA4430A3}"/>
    <hyperlink ref="F460" r:id="rId382" xr:uid="{2EF7FBF5-8911-4428-9A87-4DB2BD2CCF77}"/>
    <hyperlink ref="F461" r:id="rId383" xr:uid="{A7EE0AC8-AE0A-406B-8BB9-FDFEA0F3C7B1}"/>
    <hyperlink ref="F462" r:id="rId384" xr:uid="{3C727131-12B3-4CF2-91E8-CC00F8017D67}"/>
    <hyperlink ref="F465" r:id="rId385" xr:uid="{CB772716-9F63-4F97-8B75-C90E50381481}"/>
    <hyperlink ref="F463" r:id="rId386" xr:uid="{C3A75B96-4947-47F6-BB62-807875FF4A25}"/>
    <hyperlink ref="F464" r:id="rId387" xr:uid="{D209BB4B-9565-4C5A-898E-7CFD9E0F9D95}"/>
    <hyperlink ref="F445" r:id="rId388" xr:uid="{32F070D5-AD20-41AE-89C4-2D5A9DAA8831}"/>
    <hyperlink ref="F466" r:id="rId389" xr:uid="{B7214275-F25B-4AA3-B40A-443D9F5B4AEE}"/>
    <hyperlink ref="F468" r:id="rId390" xr:uid="{6EB8CA15-F39C-49D0-A7BA-9AA69AFFFB17}"/>
    <hyperlink ref="F469" r:id="rId391" xr:uid="{5ED70A10-5C03-4EFA-88D4-A7A6E8FE08E9}"/>
    <hyperlink ref="F470" r:id="rId392" display="Жалюзи самоклеющиеся" xr:uid="{5AF3336D-A804-4EBE-A722-9A3FD2B781D3}"/>
    <hyperlink ref="F471" r:id="rId393" xr:uid="{4C7DF076-AFF4-43CD-B254-4978E2DDA4CF}"/>
    <hyperlink ref="F472" r:id="rId394" xr:uid="{49F023A5-493E-4E1B-8986-3DB090B77232}"/>
    <hyperlink ref="F473" r:id="rId395" xr:uid="{920E3A91-E240-40DF-8505-B12DBCAFE731}"/>
    <hyperlink ref="F459" r:id="rId396" xr:uid="{2DD11A0C-1409-4A72-BE03-32168496ACCD}"/>
    <hyperlink ref="F474" r:id="rId397" xr:uid="{80C1E7FA-3D37-476E-916E-8324A80EACB7}"/>
    <hyperlink ref="F475" r:id="rId398" xr:uid="{EFBAF6F6-5976-49C7-9FD9-BE21B60BF5BD}"/>
    <hyperlink ref="F476" r:id="rId399" xr:uid="{B6603D59-6275-4032-8114-AF536ACB7701}"/>
    <hyperlink ref="F477" r:id="rId400" xr:uid="{BB4685F7-CECE-4FCA-B9B3-A86FBFC1D9B8}"/>
    <hyperlink ref="F478" r:id="rId401" xr:uid="{9023C530-F5DE-4842-A487-A5A6D9A63D56}"/>
    <hyperlink ref="F479" r:id="rId402" xr:uid="{DCA9FC36-DDB7-45FA-B5E8-7C10C74F4BED}"/>
    <hyperlink ref="F480" r:id="rId403" xr:uid="{B9BAA813-F42E-46F1-8C46-E3DF997E725A}"/>
    <hyperlink ref="F481" r:id="rId404" xr:uid="{E8FBB39C-6925-46E2-9388-06E4D8E7CDB4}"/>
    <hyperlink ref="F482" r:id="rId405" xr:uid="{936D84A5-20DE-4F1F-8110-BE48D3FA8FB4}"/>
    <hyperlink ref="F483" r:id="rId406" xr:uid="{22AA8A0E-9C70-42A7-8158-A627BEF14B1E}"/>
    <hyperlink ref="F484" r:id="rId407" xr:uid="{6DA8CC3F-F6A5-4F3A-A4CC-F8AB65790855}"/>
    <hyperlink ref="F485" r:id="rId408" display="Карандаш для отбеливания зубов" xr:uid="{EA1C04A6-82B4-4CBC-8CA9-0BED046BA1FC}"/>
    <hyperlink ref="F486" r:id="rId409" xr:uid="{B1FB2066-0215-4C48-B99E-262906F2F9BB}"/>
    <hyperlink ref="F487" r:id="rId410" xr:uid="{CB26F3C0-AE6E-4D44-9C98-5F8B41718875}"/>
    <hyperlink ref="F488" r:id="rId411" xr:uid="{65CA5643-9829-4F7E-B5A2-108C89C3DFA2}"/>
    <hyperlink ref="F489" r:id="rId412" xr:uid="{BA5F9D08-578E-47ED-BCB5-032A064606C5}"/>
    <hyperlink ref="F490" r:id="rId413" xr:uid="{46923345-5B76-4425-863E-69655C1B07C3}"/>
    <hyperlink ref="F491" r:id="rId414" xr:uid="{A4E1BC51-9F46-4860-B591-D856F31A8337}"/>
    <hyperlink ref="F492" r:id="rId415" display="Полотенце кухонное" xr:uid="{65EF5998-7527-4DC6-B901-B3A22E954815}"/>
    <hyperlink ref="F493" r:id="rId416" xr:uid="{1C94730A-960F-4243-BE41-A5C02E5D9C1E}"/>
    <hyperlink ref="F494" r:id="rId417" xr:uid="{BFD00791-2A6D-4352-83C9-1EB743725A4B}"/>
    <hyperlink ref="F495" r:id="rId418" xr:uid="{FF570037-5B93-4560-9DC5-9FE42AB0CB6D}"/>
    <hyperlink ref="F496" r:id="rId419" xr:uid="{E440A99B-DF9E-4E03-8E05-E764F5BD624B}"/>
    <hyperlink ref="F497" r:id="rId420" xr:uid="{AAC3BEFF-7679-4832-BBFB-BA69C77E088B}"/>
    <hyperlink ref="F498" r:id="rId421" xr:uid="{4AE03A6A-CB51-496B-9EFE-3D17D7FB79CB}"/>
    <hyperlink ref="F499" r:id="rId422" xr:uid="{2AAC0598-8890-452F-A266-AD4E9CE0ABB5}"/>
    <hyperlink ref="F500" r:id="rId423" xr:uid="{6317359C-CDA3-4BD4-8194-5C7DCDEE177E}"/>
    <hyperlink ref="F501" r:id="rId424" xr:uid="{EB119564-3611-43D8-8E16-9B07C6D2BA9E}"/>
    <hyperlink ref="F502" r:id="rId425" xr:uid="{29E2305E-15E4-4862-9DDF-968120784D16}"/>
    <hyperlink ref="F503" r:id="rId426" xr:uid="{01F77E26-E21D-4958-8394-F93E6FB996AB}"/>
    <hyperlink ref="F512" r:id="rId427" xr:uid="{48B8A5C4-862F-494C-8D45-36493551E33A}"/>
    <hyperlink ref="F513" r:id="rId428" xr:uid="{07FA7D83-896D-4DEA-88A0-0026E2E7FB81}"/>
    <hyperlink ref="F511" r:id="rId429" xr:uid="{6DC19096-F838-4B89-B994-2F15D2593D91}"/>
    <hyperlink ref="F514" r:id="rId430" display="3D коврик для ванной" xr:uid="{EBF5D273-5AFC-4D7B-9BB2-E7482F359723}"/>
    <hyperlink ref="F515" r:id="rId431" xr:uid="{EBD921DB-A9E2-4CC5-9972-6003DB4E23C7}"/>
    <hyperlink ref="F516" r:id="rId432" xr:uid="{5BAAC3B7-254F-4D2E-8816-A4A02C14F80E}"/>
    <hyperlink ref="F517" r:id="rId433" xr:uid="{543C5F60-FFEC-42F1-A814-3B1CDFA9C559}"/>
    <hyperlink ref="F518" r:id="rId434" xr:uid="{4F5DB48F-E7DD-4422-BFB0-EE964733F779}"/>
    <hyperlink ref="F519" r:id="rId435" xr:uid="{8D0FA601-7B50-46BB-A37C-08F9C567C19E}"/>
    <hyperlink ref="F520" r:id="rId436" xr:uid="{15BDEBF1-9932-4ABD-94A1-DD3EF724366F}"/>
    <hyperlink ref="F521" r:id="rId437" xr:uid="{3FFA9866-7F15-4137-BEFD-5CF6479CD7DD}"/>
    <hyperlink ref="F526" r:id="rId438" xr:uid="{F855AEAA-6C18-4ABC-AE4B-A18EB70A0EEF}"/>
    <hyperlink ref="F528" r:id="rId439" xr:uid="{EAA8E9D3-5872-4AD2-AFB3-4DE7E4124E96}"/>
    <hyperlink ref="F529" r:id="rId440" xr:uid="{3FB92568-717D-41CA-B9F0-E6C997FF4F7B}"/>
    <hyperlink ref="F533" r:id="rId441" xr:uid="{51B473A3-4CF2-48BD-AED9-ACF72271AB7C}"/>
    <hyperlink ref="F534" r:id="rId442" xr:uid="{8EDCA634-711E-40BE-AA9E-7320092E1FA0}"/>
    <hyperlink ref="F535" r:id="rId443" xr:uid="{DC7108F7-EE37-4CFD-BC41-33B7748F76FA}"/>
    <hyperlink ref="F536" r:id="rId444" xr:uid="{A0AB77BA-B5D2-4DD6-B4C9-0222E27E7914}"/>
    <hyperlink ref="F537" r:id="rId445" xr:uid="{55DF70BD-956C-4377-8160-9002E3F08F62}"/>
    <hyperlink ref="F538" r:id="rId446" xr:uid="{A16E5E79-23E3-4DEE-B0CA-49D42E846A86}"/>
    <hyperlink ref="F539" r:id="rId447" xr:uid="{366B44A5-68DE-4451-B6D8-5B4372DF3C1D}"/>
    <hyperlink ref="F540" r:id="rId448" xr:uid="{889D5DA7-3F78-42F0-8441-4593AF91A63D}"/>
    <hyperlink ref="F541" r:id="rId449" xr:uid="{EBA132B4-50AB-4418-9C95-00F70E8073D1}"/>
    <hyperlink ref="F543" r:id="rId450" xr:uid="{3341BBFA-B9CB-4ED5-8CF4-F4F6B6593699}"/>
    <hyperlink ref="F544" r:id="rId451" xr:uid="{A56ABDDF-A30C-45C2-9AFC-6A3AFF8CF3C0}"/>
    <hyperlink ref="F545" r:id="rId452" xr:uid="{A00F0E93-DFE2-46FD-A834-49A364A665AE}"/>
    <hyperlink ref="F542" r:id="rId453" xr:uid="{51652884-24D1-40C2-B95B-7D50298F02C1}"/>
    <hyperlink ref="F548" r:id="rId454" xr:uid="{590C8314-F90F-41E2-9E4E-E927EFCEA1A8}"/>
    <hyperlink ref="F549" r:id="rId455" xr:uid="{9BF62699-B503-4418-93BE-78CBA48B9078}"/>
    <hyperlink ref="F550" r:id="rId456" xr:uid="{3E75DC99-EA7A-4BBB-9529-4C7D85119BEC}"/>
    <hyperlink ref="F551" r:id="rId457" xr:uid="{DA920543-3A74-4BDE-A59C-B8244BEE07A0}"/>
    <hyperlink ref="F552" r:id="rId458" xr:uid="{63A8B149-3626-43C8-9188-90EB3AAC94AC}"/>
    <hyperlink ref="F553" r:id="rId459" xr:uid="{DF4B0961-88D6-480C-87C2-196686E22486}"/>
    <hyperlink ref="F554" r:id="rId460" xr:uid="{4DDB8059-00F8-4AA3-8840-8F2776E9053E}"/>
    <hyperlink ref="F555" r:id="rId461" xr:uid="{9F9F8FDB-AE62-400E-BB15-035BF94366C7}"/>
    <hyperlink ref="F556" r:id="rId462" xr:uid="{5CACEBCF-4B2C-4F79-AFD8-4E0DB3A7A5F8}"/>
    <hyperlink ref="F557" r:id="rId463" xr:uid="{36529346-D6B6-42DD-904C-198825A93074}"/>
    <hyperlink ref="F558" r:id="rId464" xr:uid="{F44D5DA6-C600-4139-9C45-8CE5845D72EE}"/>
    <hyperlink ref="F559" r:id="rId465" xr:uid="{370CB26E-2C3D-4259-8862-D42F1501BBE3}"/>
    <hyperlink ref="F572" r:id="rId466" xr:uid="{39CBE88C-1697-45FD-A274-0933C4E008E2}"/>
    <hyperlink ref="F573" r:id="rId467" xr:uid="{E29C8ED7-8B65-4324-83E6-D648BD05FF83}"/>
    <hyperlink ref="F574" r:id="rId468" xr:uid="{FC71A62D-5748-4C60-95DD-3F3A3F695E3F}"/>
    <hyperlink ref="F575" r:id="rId469" xr:uid="{D5DFAFFC-7978-4EE9-BDB6-1D3B8C8B539F}"/>
    <hyperlink ref="F576" r:id="rId470" xr:uid="{CD225117-DDD4-47FD-91A5-00A2C349871D}"/>
    <hyperlink ref="F577" r:id="rId471" xr:uid="{F649BEAD-B8FA-4C0E-9FE4-C70D92188A5C}"/>
    <hyperlink ref="F578" r:id="rId472" xr:uid="{F4851543-6D0B-49F4-91DD-4063836BF783}"/>
    <hyperlink ref="F579" r:id="rId473" xr:uid="{76C323D3-90F9-46E9-8A1B-AF3240305FAE}"/>
    <hyperlink ref="F580" r:id="rId474" xr:uid="{F3B9AF0A-8E25-4086-BC41-332825AAD8C8}"/>
    <hyperlink ref="F581" r:id="rId475" xr:uid="{3269AA5F-51BE-4919-9C75-919AEBD1092C}"/>
    <hyperlink ref="F560" r:id="rId476" xr:uid="{39C95A4B-9124-4488-B3BC-A29FE99CFBCE}"/>
    <hyperlink ref="F561" r:id="rId477" xr:uid="{650C4B25-5470-424E-807A-FD5476240360}"/>
    <hyperlink ref="F562" r:id="rId478" xr:uid="{D29F69D4-C29E-4252-9552-C0E4F609E552}"/>
    <hyperlink ref="F563" r:id="rId479" xr:uid="{C1063B82-E758-4E41-BB25-ED1426169871}"/>
    <hyperlink ref="F564" r:id="rId480" xr:uid="{BAF8255E-2940-4212-A6F3-A7F61545D626}"/>
    <hyperlink ref="F565" r:id="rId481" xr:uid="{A7311B2D-866F-4EA1-A608-F648F331CEE2}"/>
    <hyperlink ref="F566" r:id="rId482" xr:uid="{6D906539-1C6F-42CA-8B33-4F68AD963437}"/>
    <hyperlink ref="F567" r:id="rId483" xr:uid="{A68DC3F3-5591-454B-961F-92DA2CCC45A5}"/>
    <hyperlink ref="F568" r:id="rId484" xr:uid="{2F92ECAE-243A-40EA-B7C7-651D60B8C7DC}"/>
    <hyperlink ref="F569" r:id="rId485" xr:uid="{EF11EFA8-65AD-498B-B242-E997CB695728}"/>
    <hyperlink ref="F570" r:id="rId486" xr:uid="{193E21D2-63B4-41B8-955F-32B7448223ED}"/>
    <hyperlink ref="F571" r:id="rId487" xr:uid="{528FDD0C-836C-491B-8754-0B63366ADCA6}"/>
    <hyperlink ref="F582" r:id="rId488" xr:uid="{ED6B614D-533E-462D-8FDD-1D873151F0BB}"/>
    <hyperlink ref="F583" r:id="rId489" xr:uid="{6C01509B-C70D-4300-B8B3-CBAEAA12B590}"/>
    <hyperlink ref="F584" r:id="rId490" xr:uid="{BA9AAD69-0A5C-46B7-AF66-BE67394260DE}"/>
    <hyperlink ref="F585" r:id="rId491" xr:uid="{E04F87C0-2C89-45CF-893C-8B750B3772BD}"/>
    <hyperlink ref="F586" r:id="rId492" xr:uid="{17883D9D-75C4-4C60-9DB8-0C42FB108E9E}"/>
    <hyperlink ref="F587" r:id="rId493" xr:uid="{BE62CF2C-D144-44AB-86D2-F3F8EE5421FE}"/>
    <hyperlink ref="F588" r:id="rId494" xr:uid="{A47F4C15-BAE6-4EAA-BBD9-E798C1856706}"/>
    <hyperlink ref="F589" r:id="rId495" xr:uid="{3C70251A-5F58-405C-81D0-0B56D9677DFA}"/>
    <hyperlink ref="F590" r:id="rId496" xr:uid="{9D3B0B7D-AF08-49C4-A390-17EB75142984}"/>
    <hyperlink ref="F591" r:id="rId497" xr:uid="{9221AD9A-FA51-4558-A775-2CCDF64CFBC8}"/>
    <hyperlink ref="F592" r:id="rId498" xr:uid="{584F8A38-D37B-4543-98FE-642372EDBA85}"/>
    <hyperlink ref="F593" r:id="rId499" xr:uid="{46DD228F-AA18-4835-817C-4A364C6BDE56}"/>
    <hyperlink ref="F594" r:id="rId500" xr:uid="{FD68BD25-B899-483D-960A-FEB29CE31AED}"/>
    <hyperlink ref="F595" r:id="rId501" xr:uid="{AB07C2C8-EC77-4E30-9A9D-954695B650C8}"/>
    <hyperlink ref="F596" r:id="rId502" xr:uid="{C0890FB8-CB0C-4C3A-A5F8-3057D546E5C3}"/>
    <hyperlink ref="F597" r:id="rId503" xr:uid="{B86D449C-15A7-41D5-B65B-2CFFDCA333D2}"/>
    <hyperlink ref="F598" r:id="rId504" xr:uid="{8CF876B8-09AB-4159-A509-F4F136AA5F52}"/>
    <hyperlink ref="F599" r:id="rId505" xr:uid="{71CBB273-F7C6-48C7-A9EF-8E29990D42CC}"/>
    <hyperlink ref="F600" r:id="rId506" xr:uid="{14243995-68C5-43E6-925C-60D5DAB7A224}"/>
    <hyperlink ref="F601" r:id="rId507" xr:uid="{70CDD583-0580-4C4E-A969-CCDA7F5CE54B}"/>
    <hyperlink ref="F602" r:id="rId508" xr:uid="{ECE2E744-0D1E-4E6B-AED5-EE4E190D6B12}"/>
    <hyperlink ref="F603" r:id="rId509" xr:uid="{F4C03201-2516-4104-A9F3-965249FC0D72}"/>
    <hyperlink ref="F604" r:id="rId510" xr:uid="{584A54D0-C458-46B5-839A-72827E18D346}"/>
    <hyperlink ref="F605" r:id="rId511" xr:uid="{0FC3C0A9-12AF-499A-92FD-0F36736DDF9D}"/>
    <hyperlink ref="F606" r:id="rId512" display="Маска для теста" xr:uid="{C06CCD86-54B3-45BB-B2DC-8328B00ADD55}"/>
    <hyperlink ref="F607" r:id="rId513" xr:uid="{8AEC61D6-DD29-47AC-B475-5FDF188CB500}"/>
    <hyperlink ref="F608" r:id="rId514" xr:uid="{C5696285-8C0B-49DC-8164-535C6338E9EE}"/>
    <hyperlink ref="F609" r:id="rId515" xr:uid="{2879C41A-12EC-4306-9728-D8F8A46EBC59}"/>
    <hyperlink ref="F610" r:id="rId516" xr:uid="{918112A5-D6C8-4C9D-96C2-14EBBFF213B9}"/>
    <hyperlink ref="F611" r:id="rId517" display="Чехол для кресла" xr:uid="{70D7939D-E0D8-4115-A226-6AF14DEAD1BD}"/>
    <hyperlink ref="F612" r:id="rId518" xr:uid="{CDF4BFC3-4C99-4D6B-B3F9-F79AAEDBCBBA}"/>
    <hyperlink ref="F613" r:id="rId519" xr:uid="{D43E02ED-C132-4A61-9372-C72E62B0FCAB}"/>
    <hyperlink ref="F614" r:id="rId520" xr:uid="{7365DF98-738A-4FBB-B633-1FAF3C981FE1}"/>
    <hyperlink ref="F615" r:id="rId521" xr:uid="{6F1A5D9B-6709-44B4-9D77-6592BC5AE975}"/>
    <hyperlink ref="F616" r:id="rId522" xr:uid="{914D5AEF-DB6C-46A5-A4D9-42F662751D8F}"/>
    <hyperlink ref="F618" r:id="rId523" xr:uid="{5A60EB0C-7B39-4ED9-AB88-BE6B2190DF39}"/>
    <hyperlink ref="F619" r:id="rId524" xr:uid="{B27CBBD3-22F3-4FF2-AA55-70DDDAF3349B}"/>
    <hyperlink ref="F620" r:id="rId525" xr:uid="{221E52E8-16C1-44CC-920C-64082109D10A}"/>
    <hyperlink ref="F621" r:id="rId526" xr:uid="{D0BF4CA4-C985-4D19-A912-8E4E59DF8CA2}"/>
    <hyperlink ref="F622" r:id="rId527" xr:uid="{D998D656-1D0F-4102-A253-36A39E85FF9E}"/>
    <hyperlink ref="F623" r:id="rId528" xr:uid="{133731B0-5CD9-4F31-861E-936A8C931F09}"/>
    <hyperlink ref="F624" r:id="rId529" xr:uid="{CB7F414D-340E-4157-B0DF-8D97C9258C66}"/>
    <hyperlink ref="F625" r:id="rId530" xr:uid="{9BBBB79C-3B86-4241-839C-41587B34CDF4}"/>
    <hyperlink ref="F626" r:id="rId531" xr:uid="{01B8B830-C93A-4090-A302-3DAA4CC6F6AC}"/>
    <hyperlink ref="F627" r:id="rId532" xr:uid="{FEEB4D9E-0CC6-49E2-99D3-D482C00F735B}"/>
    <hyperlink ref="F628" r:id="rId533" xr:uid="{703E1209-BBFB-4271-906C-1E3BF6232ABC}"/>
    <hyperlink ref="F631" r:id="rId534" xr:uid="{05D2A672-E7EA-45E1-B6BD-279390A6F005}"/>
    <hyperlink ref="F632" r:id="rId535" xr:uid="{A6C44329-A4C6-4BF3-8075-E0291165B916}"/>
    <hyperlink ref="F633" r:id="rId536" xr:uid="{B4105F15-B804-4970-AFF8-E88DD7DF9595}"/>
    <hyperlink ref="F634" r:id="rId537" xr:uid="{56B1B894-DEFD-4453-837E-D96109C8E9E2}"/>
    <hyperlink ref="F635" r:id="rId538" xr:uid="{106B334E-2D8C-4113-BA1C-45F65AC18C0D}"/>
    <hyperlink ref="F636" r:id="rId539" xr:uid="{741F45DB-A5CE-41FB-A9C0-413423247921}"/>
    <hyperlink ref="F637" r:id="rId540" xr:uid="{B6C60C03-92FB-4B42-B49D-6FA06DBC4BBD}"/>
    <hyperlink ref="F638" r:id="rId541" xr:uid="{064C88FC-FE63-443E-837A-59379D578663}"/>
    <hyperlink ref="F639" r:id="rId542" xr:uid="{6A72BD6F-2F3A-44AA-9073-3073172B47E5}"/>
    <hyperlink ref="F640" r:id="rId543" xr:uid="{2401DE7B-04EC-4CA1-BA81-70668F630D6C}"/>
    <hyperlink ref="F641" r:id="rId544" xr:uid="{887F9320-142A-4038-99EA-AEF78EAA80FB}"/>
    <hyperlink ref="F642" r:id="rId545" xr:uid="{6D4BDFA1-C46C-4FDC-BE5F-72578479E7F2}"/>
    <hyperlink ref="F643" r:id="rId546" xr:uid="{3197CD04-A536-45AC-AF5B-71E38AF79FDD}"/>
    <hyperlink ref="F644" r:id="rId547" xr:uid="{F48E1149-2CAA-4954-A7F0-7730BC8D66C8}"/>
    <hyperlink ref="F646" r:id="rId548" xr:uid="{7B37DFD8-43AC-4DEA-88E9-A3DD7D87D8B0}"/>
    <hyperlink ref="F647" r:id="rId549" xr:uid="{DD375865-2089-4F80-9E4F-3E20B26E4E3D}"/>
    <hyperlink ref="F648" r:id="rId550" xr:uid="{4C5DFE66-4246-46D4-A389-01F5BB9D7EFB}"/>
    <hyperlink ref="F649" r:id="rId551" xr:uid="{FAD06F62-3771-4C64-9170-775559586AB9}"/>
    <hyperlink ref="F650" r:id="rId552" xr:uid="{4A92718F-12B0-4533-8C9E-57902A5BB111}"/>
    <hyperlink ref="F651" r:id="rId553" xr:uid="{556BFBFC-3117-483E-979F-303E7AF536EE}"/>
    <hyperlink ref="F652" r:id="rId554" xr:uid="{B7B59476-50BF-45A2-96BE-347ACAA5BDA2}"/>
    <hyperlink ref="F653" r:id="rId555" xr:uid="{9C0476C7-CF8A-42E6-B9EE-E0AE8C1DBC74}"/>
    <hyperlink ref="F654" r:id="rId556" xr:uid="{F1BEB3D6-7F7B-4708-A1EF-885AE060C161}"/>
    <hyperlink ref="F656" r:id="rId557" xr:uid="{BBC8F3AD-D805-4405-BBBF-1593CA0E8C22}"/>
    <hyperlink ref="F657" r:id="rId558" xr:uid="{E9F90113-3D88-4E93-9E65-E2CA84D924FD}"/>
    <hyperlink ref="F658" r:id="rId559" xr:uid="{F26D734C-2167-41FE-AB4D-7C264936D12B}"/>
    <hyperlink ref="F659" r:id="rId560" xr:uid="{F469D3AB-66C4-4679-8474-36F55BFA0375}"/>
    <hyperlink ref="F660" r:id="rId561" xr:uid="{6A8BD9E6-BAB7-4FF3-A908-4F4B97F47639}"/>
    <hyperlink ref="F661" r:id="rId562" xr:uid="{457AC182-7087-45FB-A154-B3BD4F9CBD25}"/>
    <hyperlink ref="F662" r:id="rId563" xr:uid="{54D5C688-818A-4518-B083-0514F0515748}"/>
    <hyperlink ref="F663" r:id="rId564" xr:uid="{8CE35D73-0288-45C0-B439-91924EC69CBA}"/>
    <hyperlink ref="F664" r:id="rId565" xr:uid="{4241D421-8C73-484F-956C-0FB1862CA34A}"/>
    <hyperlink ref="F665" r:id="rId566" xr:uid="{8F825C42-4C04-4F4C-9972-FFD082BB6DFF}"/>
    <hyperlink ref="F666" r:id="rId567" xr:uid="{AEF9B8EE-A8FE-48C9-8115-176561CB592A}"/>
    <hyperlink ref="F667" r:id="rId568" xr:uid="{98D3C5DF-B58B-44B6-A755-228EF305422E}"/>
    <hyperlink ref="F668" r:id="rId569" xr:uid="{936AF90B-4F8D-45A1-99B0-B63EF5AD4866}"/>
    <hyperlink ref="F669" r:id="rId570" xr:uid="{F955F427-6F00-4E97-A50F-1DA04BBD1403}"/>
    <hyperlink ref="F670" r:id="rId571" xr:uid="{9BF29416-7AFC-4C25-AE79-8A0BB0FFC8FC}"/>
    <hyperlink ref="F671" r:id="rId572" xr:uid="{BCB570C7-6C5B-4B88-A0BD-09D4CCA9D248}"/>
    <hyperlink ref="F672" r:id="rId573" xr:uid="{07A1AF1E-EE6E-46B1-AF7A-580C4A8783C3}"/>
    <hyperlink ref="F673" r:id="rId574" xr:uid="{91B68058-958A-47B5-BB16-B3023E5A9957}"/>
    <hyperlink ref="F674" r:id="rId575" xr:uid="{BF2727C5-1F39-402E-8971-14E29E623B62}"/>
    <hyperlink ref="F675" r:id="rId576" xr:uid="{BDE5B2AC-CA50-4C3D-8079-F1141F4819D9}"/>
    <hyperlink ref="F676" r:id="rId577" xr:uid="{E7DB51A5-B7D4-48B0-A2C7-74E98553A305}"/>
    <hyperlink ref="F677" r:id="rId578" xr:uid="{C03BB2C5-6EE9-4B56-B946-F53C0D63FEC1}"/>
    <hyperlink ref="F678" r:id="rId579" xr:uid="{3C3FE307-DAE3-4785-9ADB-67EF96B9A61F}"/>
    <hyperlink ref="F679" r:id="rId580" xr:uid="{319AAF77-3CF0-4AD9-90FD-36D0FC26BD53}"/>
    <hyperlink ref="F680" r:id="rId581" xr:uid="{C7DA976E-2E19-4DD1-AE92-5834A7A31ADB}"/>
    <hyperlink ref="F682" r:id="rId582" xr:uid="{770E8657-FB7C-4C64-9928-18C9E0C089CA}"/>
    <hyperlink ref="F683" r:id="rId583" xr:uid="{57EFC84E-B766-4F66-829B-901B3EE92840}"/>
    <hyperlink ref="F684" r:id="rId584" xr:uid="{7F9E1F66-7739-4C0A-B7D9-CFF740E4B387}"/>
    <hyperlink ref="F685" r:id="rId585" xr:uid="{65A3C235-358E-4EE6-A812-489828D6C6BE}"/>
    <hyperlink ref="F686" r:id="rId586" xr:uid="{8053D12D-3DAC-45F7-87DE-75E3388EA9E9}"/>
    <hyperlink ref="F687" r:id="rId587" xr:uid="{837F1C4A-E4C5-4D51-9446-4F69D5AAAE7D}"/>
    <hyperlink ref="F691" r:id="rId588" xr:uid="{0B1A4161-DF7B-4970-9E97-15C90DACE232}"/>
    <hyperlink ref="F692" r:id="rId589" xr:uid="{D51216DD-BC69-43FD-9EFB-41B21338A430}"/>
    <hyperlink ref="F693" r:id="rId590" xr:uid="{561D2C98-CB11-43BB-B729-3F64AAFA3062}"/>
    <hyperlink ref="F694" r:id="rId591" xr:uid="{FA0AE5C4-DF53-4516-99FA-9332F0D0C56B}"/>
    <hyperlink ref="F695" r:id="rId592" xr:uid="{9AAC7D39-D97F-4E62-B17E-79A2846201EE}"/>
    <hyperlink ref="F696" r:id="rId593" xr:uid="{0053F0E5-5197-4E6A-B061-7A0D633D8876}"/>
    <hyperlink ref="F697" r:id="rId594" xr:uid="{98C9EF48-C7F5-49CA-9229-4E0814EF6349}"/>
    <hyperlink ref="F698" r:id="rId595" xr:uid="{FE7F44A3-F4FF-4D2C-AA07-A9657E15D3D7}"/>
    <hyperlink ref="F699" r:id="rId596" xr:uid="{05E30979-7F1E-4F5A-AB0D-FB2B2A445AC4}"/>
    <hyperlink ref="F700" r:id="rId597" xr:uid="{5442A7A4-A20D-4893-BF39-B5644A8BC05B}"/>
    <hyperlink ref="F701" r:id="rId598" xr:uid="{0DF26F06-D36A-4B59-BE65-772694810EDC}"/>
    <hyperlink ref="F702" r:id="rId599" xr:uid="{46CEE11E-A55B-4FB8-9225-88BF5DA737E3}"/>
    <hyperlink ref="F705" r:id="rId600" xr:uid="{1EE15FC6-1800-4455-819F-13A090158F99}"/>
    <hyperlink ref="F706" r:id="rId601" xr:uid="{0BA7D917-7118-4DDF-82B0-0503A0D6C88C}"/>
    <hyperlink ref="F707" r:id="rId602" xr:uid="{4E259EC9-9D4C-4B3C-B33F-811421B22FAB}"/>
    <hyperlink ref="F708" r:id="rId603" xr:uid="{679E7E1A-FD20-41F3-9C70-59829C476048}"/>
    <hyperlink ref="F709" r:id="rId604" xr:uid="{14F03541-84A3-4494-AB2B-0F76309A3B3B}"/>
    <hyperlink ref="F710" r:id="rId605" xr:uid="{98988CAF-8F89-41B2-9C62-F11BB285D657}"/>
    <hyperlink ref="F711" r:id="rId606" xr:uid="{152E6138-D838-4267-BC60-3FE0D30AAEA0}"/>
    <hyperlink ref="F712" r:id="rId607" xr:uid="{875FF029-8FD3-42FE-9EC4-614997FA1365}"/>
    <hyperlink ref="F713" r:id="rId608" xr:uid="{63E58669-E740-474F-969A-369D0F5F58A7}"/>
    <hyperlink ref="F714" r:id="rId609" xr:uid="{99711003-D23E-45AB-8E16-9C48F06551C5}"/>
    <hyperlink ref="F717" r:id="rId610" xr:uid="{9F730995-7CB2-4665-9EAB-3C40507A706B}"/>
    <hyperlink ref="F715" r:id="rId611" xr:uid="{66BBA614-1D42-4477-B4DD-B44D949B3484}"/>
    <hyperlink ref="F716" r:id="rId612" xr:uid="{8A5AC865-FF0B-477E-AD0B-E2DD30C95700}"/>
    <hyperlink ref="F729" r:id="rId613" xr:uid="{F6B48838-2C7F-440A-9611-DE01D2D2ADBE}"/>
    <hyperlink ref="F730" r:id="rId614" xr:uid="{286145CD-14C1-4940-9493-C77B26D052B2}"/>
    <hyperlink ref="F731" r:id="rId615" xr:uid="{E5B3CF13-2A93-42D3-A946-75118309697E}"/>
    <hyperlink ref="F732" r:id="rId616" xr:uid="{A299A223-AD75-4CDC-9603-DE7FDF337C46}"/>
    <hyperlink ref="F733" r:id="rId617" xr:uid="{866AC658-5FAB-4DEC-A335-EC42DEC40337}"/>
    <hyperlink ref="F734" r:id="rId618" xr:uid="{E456449C-4964-47FA-8290-3CFD3D1AE64B}"/>
    <hyperlink ref="F735" r:id="rId619" xr:uid="{E35AEEB1-670D-4806-AF78-7CFF7F225C20}"/>
    <hyperlink ref="F736" r:id="rId620" xr:uid="{2980F860-3817-4DBD-BAAF-8E3CF0210645}"/>
    <hyperlink ref="F740" r:id="rId621" xr:uid="{93DE35EF-1BC0-4FD5-BEDC-C6B0710FA660}"/>
    <hyperlink ref="F741" r:id="rId622" xr:uid="{2BF0978E-0535-44C6-BBB3-C41BC90BD992}"/>
    <hyperlink ref="F742" r:id="rId623" xr:uid="{8145B5F8-1BEC-4D5E-B868-07975714A6A0}"/>
    <hyperlink ref="F743" r:id="rId624" xr:uid="{D1B05F6B-5C2C-447E-B429-36D2301F3EA1}"/>
    <hyperlink ref="F746" r:id="rId625" xr:uid="{E3CCEC7E-C25B-4593-B354-55F18E2C4648}"/>
    <hyperlink ref="F747" r:id="rId626" xr:uid="{E4E25EF1-E0D0-48EE-8C58-9F5A1100FBB9}"/>
    <hyperlink ref="F748" r:id="rId627" xr:uid="{FF15E442-EC8D-489F-981B-6B6657EA8710}"/>
    <hyperlink ref="F749" r:id="rId628" display="Rрем краска для волос" xr:uid="{3408A65D-85CC-4D26-899F-E476820EC6E2}"/>
    <hyperlink ref="F750" r:id="rId629" xr:uid="{4DF9048A-52BE-412A-B3DA-D91A0A743C5E}"/>
    <hyperlink ref="F751" r:id="rId630" xr:uid="{62D9648C-86CA-49EA-AF49-1245C1BEC160}"/>
    <hyperlink ref="F752" r:id="rId631" xr:uid="{ACEEA1C6-CB48-4953-A0EE-6DEA8F2EE28A}"/>
    <hyperlink ref="F753" r:id="rId632" xr:uid="{4571D273-ECBD-4055-999B-47E2D18F4D4D}"/>
    <hyperlink ref="F754" r:id="rId633" xr:uid="{77748CC8-DAE2-4B23-A84E-D8CE7B21F620}"/>
    <hyperlink ref="F755" r:id="rId634" display="Краска для волос" xr:uid="{C9C39B57-5CB6-4DDF-9A8D-129796B60322}"/>
    <hyperlink ref="F756" r:id="rId635" xr:uid="{E0C65CCF-9532-47F3-AB0C-64A08F0F611B}"/>
    <hyperlink ref="F757" r:id="rId636" xr:uid="{2089713A-81D7-42D4-8227-D3F21535F54B}"/>
    <hyperlink ref="F758" r:id="rId637" xr:uid="{3ECBC465-8538-4275-9467-852C0E96D019}"/>
    <hyperlink ref="F762" r:id="rId638" xr:uid="{E8E05855-D5CC-4342-8C52-DB08AB45B971}"/>
    <hyperlink ref="F763" r:id="rId639" xr:uid="{BD9C7DB4-4150-45A4-BB11-983AEFD71845}"/>
    <hyperlink ref="F764" r:id="rId640" xr:uid="{01452DBD-097B-452E-B391-94FFF62FB536}"/>
    <hyperlink ref="F765" r:id="rId641" xr:uid="{03D94353-DFA1-4072-BE73-F621E337E221}"/>
    <hyperlink ref="F766" r:id="rId642" xr:uid="{E9BD2917-CEB7-47A0-8CB8-D1EC1C9020EE}"/>
    <hyperlink ref="F768" r:id="rId643" xr:uid="{3C5D2B96-2B8C-457B-B8C5-920825CBACBC}"/>
    <hyperlink ref="F767" r:id="rId644" xr:uid="{44D433E9-06DF-49B3-91DF-EA35FF9D1581}"/>
    <hyperlink ref="F769" r:id="rId645" xr:uid="{4D78DDD0-168A-496A-8C22-D6C299617ABA}"/>
    <hyperlink ref="F770" r:id="rId646" xr:uid="{C36F2F33-6656-481B-B04C-319A09C59D04}"/>
    <hyperlink ref="F771" r:id="rId647" xr:uid="{7C376E21-7F75-45CC-AB76-58090B0C30C7}"/>
    <hyperlink ref="F772" r:id="rId648" xr:uid="{A2BCE133-DB71-46FA-8573-D3DFA5C4F9A5}"/>
    <hyperlink ref="F779" r:id="rId649" xr:uid="{A6D858CD-F4EE-48C1-A0F5-20DFF7529F5B}"/>
    <hyperlink ref="F780" r:id="rId650" xr:uid="{EDE26B79-C298-4830-8F66-9FE731CFBC4E}"/>
    <hyperlink ref="F781" r:id="rId651" xr:uid="{CAA86EB3-936C-4C1C-9969-0498014AAB1B}"/>
    <hyperlink ref="F782" r:id="rId652" xr:uid="{4A669E6F-D8BE-43E9-8B9C-BFB0B04BDC38}"/>
    <hyperlink ref="F783" r:id="rId653" xr:uid="{5879BB71-3EB5-47CA-9B43-5F3F18F38F19}"/>
    <hyperlink ref="F786" r:id="rId654" xr:uid="{7F9BDD39-5ED9-439C-9CEB-052F7CB46599}"/>
    <hyperlink ref="F787" r:id="rId655" xr:uid="{237E3B14-2F35-4A0A-8AAC-C21B4EB8121A}"/>
    <hyperlink ref="F788" r:id="rId656" xr:uid="{32FF84AB-8A5B-4A35-A791-95D5DEB0BFA3}"/>
    <hyperlink ref="F789" r:id="rId657" xr:uid="{54F69269-008B-492C-BDB6-DDB0F775C441}"/>
    <hyperlink ref="F790" r:id="rId658" xr:uid="{F59E2BBF-6B64-4E08-8245-02D6C1DB3D7D}"/>
    <hyperlink ref="F791" r:id="rId659" xr:uid="{B51705C1-69D4-4EA6-A9DF-81EB3B0014F8}"/>
    <hyperlink ref="F792" r:id="rId660" xr:uid="{DEE30F92-E4C6-428E-9460-1070BF4D2539}"/>
    <hyperlink ref="F793" r:id="rId661" xr:uid="{875067C8-0865-4543-822B-36FCD8D6A5F9}"/>
    <hyperlink ref="F794" r:id="rId662" xr:uid="{8749669F-9BEF-469B-90EC-946276C54907}"/>
    <hyperlink ref="F795" r:id="rId663" xr:uid="{AB676757-3C98-4E95-BF8D-805B2774E4DA}"/>
    <hyperlink ref="F796" r:id="rId664" xr:uid="{C18802EA-3FF3-4E51-B0E2-639E7DB5B8DA}"/>
    <hyperlink ref="F799" r:id="rId665" display="Наклейка для ногтей" xr:uid="{FAAA0D53-68E7-4607-940E-D82537C249AF}"/>
    <hyperlink ref="F800" r:id="rId666" xr:uid="{9CE8BF3B-7946-4B87-872D-21579652D088}"/>
    <hyperlink ref="F801" r:id="rId667" xr:uid="{38C25477-D079-4C2D-AFBC-B685BE74B6BA}"/>
    <hyperlink ref="F802" r:id="rId668" display="Наклейка для ногтей водные цветы" xr:uid="{45457307-FC72-4199-8BE8-7C2C55EE9D43}"/>
    <hyperlink ref="F803" r:id="rId669" xr:uid="{727D1166-3C80-498F-B3A8-B453E5083D38}"/>
    <hyperlink ref="F804" r:id="rId670" xr:uid="{C435CA13-22B7-4793-B927-2A69C3CB2541}"/>
    <hyperlink ref="F805" r:id="rId671" xr:uid="{34B9F85E-8B4A-46D3-96C2-3B0C63ECA9B0}"/>
    <hyperlink ref="F806" r:id="rId672" xr:uid="{D9B1EC82-398E-448F-86BE-3B43FF72D4C3}"/>
    <hyperlink ref="F807" r:id="rId673" xr:uid="{4EEF71F2-B848-4225-8A25-AFBB1EDF500D}"/>
    <hyperlink ref="F808" r:id="rId674" xr:uid="{5D34B78E-31B3-4D8B-9977-D2BC35F0863C}"/>
    <hyperlink ref="F811" r:id="rId675" xr:uid="{F83685D8-A95D-4745-B250-AB2DB85B57D3}"/>
    <hyperlink ref="F812" r:id="rId676" xr:uid="{595BA7EC-15F9-4F59-A84F-BCD907376F52}"/>
    <hyperlink ref="F813" r:id="rId677" xr:uid="{AFE8DEB5-0EFD-47C8-AD9D-A7B4D622EFFD}"/>
    <hyperlink ref="F814" r:id="rId678" xr:uid="{BEF60E03-CC61-4130-B202-E0D303ABE47E}"/>
    <hyperlink ref="F815" r:id="rId679" xr:uid="{54F235B2-6672-4B69-B108-50ACAF989A47}"/>
    <hyperlink ref="F816" r:id="rId680" xr:uid="{1598DE1E-FA09-4B2E-8449-AD42C2D6CC8E}"/>
    <hyperlink ref="F817" r:id="rId681" xr:uid="{C59F1578-7943-4FDA-96DC-F446814A4696}"/>
    <hyperlink ref="F818" r:id="rId682" xr:uid="{087AAA90-29B4-488C-A17A-9D971CD1D505}"/>
    <hyperlink ref="F819" r:id="rId683" display="Избранные обработки народных печен" xr:uid="{26141F91-9B13-4121-991E-B57F38FA8D7B}"/>
    <hyperlink ref="F824" r:id="rId684" xr:uid="{0A9E95FD-7EC4-4658-A4D3-75DDAB42AF75}"/>
    <hyperlink ref="F825" r:id="rId685" xr:uid="{710BAB57-66FC-4F1F-8884-CC2970B71743}"/>
    <hyperlink ref="F826" r:id="rId686" xr:uid="{EB7AE7DD-3833-4F52-B70C-7598051D81E2}"/>
    <hyperlink ref="F827" r:id="rId687" xr:uid="{E080B4CB-C8FC-436D-A48F-2F7F0F9CFE52}"/>
    <hyperlink ref="F828" r:id="rId688" xr:uid="{EA8FAFCB-4B03-4B0F-B0A9-5A091B31F49F}"/>
    <hyperlink ref="F829" r:id="rId689" xr:uid="{24A13C47-461A-427A-B2B9-F8F0302B947D}"/>
    <hyperlink ref="F830" r:id="rId690" xr:uid="{87AF7D2D-F52D-422E-8FCA-8B2F7B3096D4}"/>
    <hyperlink ref="F831" r:id="rId691" xr:uid="{69389ED6-B18E-4FCC-9C10-28C986630A86}"/>
    <hyperlink ref="F832" r:id="rId692" xr:uid="{2F2CCF82-DCE1-40BF-A267-F3891D6F5503}"/>
    <hyperlink ref="F833" r:id="rId693" xr:uid="{F0BF427C-3B52-4395-91B2-97508F06A348}"/>
    <hyperlink ref="F834" r:id="rId694" xr:uid="{C413F99C-2686-466E-89A6-8182FB49A650}"/>
    <hyperlink ref="F835" r:id="rId695" xr:uid="{57133F03-960D-4E3D-83E7-32DE7B8D648B}"/>
    <hyperlink ref="F836" r:id="rId696" xr:uid="{3C8F59EA-5CF0-4ECB-9705-C5B1949119A2}"/>
    <hyperlink ref="F837" r:id="rId697" xr:uid="{6CD50C70-9B23-4C8D-B1DE-1463B8C5B4A4}"/>
    <hyperlink ref="F838" r:id="rId698" xr:uid="{6BC72B0E-0EF5-41CB-9B45-193794A4327D}"/>
    <hyperlink ref="F847" r:id="rId699" xr:uid="{7FD65BD9-1A74-4AF1-A47D-5EC0253127FA}"/>
    <hyperlink ref="F848" r:id="rId700" xr:uid="{83B57C34-24B3-4FA7-B1AB-8BD4C0995AAA}"/>
    <hyperlink ref="F845" r:id="rId701" xr:uid="{EF926AE4-AB77-4E33-BF2E-D861E298AB13}"/>
    <hyperlink ref="F846" r:id="rId702" xr:uid="{EF3AE2AA-283A-4E37-AF3B-99A2053096B7}"/>
    <hyperlink ref="F849" r:id="rId703" xr:uid="{A5189B89-7046-44F0-9842-66047EEF6688}"/>
    <hyperlink ref="F850" r:id="rId704" xr:uid="{FC513F2C-8AE4-492C-84B2-F6F0B58EF794}"/>
    <hyperlink ref="F851" r:id="rId705" xr:uid="{17D3EBEB-7FF2-485B-BAFA-769037B308D1}"/>
    <hyperlink ref="F852" r:id="rId706" xr:uid="{726832AF-6E43-445F-9111-2C91056C6BEA}"/>
    <hyperlink ref="F853" r:id="rId707" xr:uid="{D470B8DC-F97D-4E49-992E-0AB5F556A69F}"/>
    <hyperlink ref="F854" r:id="rId708" xr:uid="{79A578FB-3E2C-4C79-BAA4-0E05CCDF880A}"/>
    <hyperlink ref="F855" r:id="rId709" xr:uid="{82870CD9-E797-482E-80C7-3624D7FF1231}"/>
    <hyperlink ref="F856" r:id="rId710" xr:uid="{20239CAE-D884-4AF4-86A8-1F5F7B955561}"/>
    <hyperlink ref="F857" r:id="rId711" xr:uid="{B12A7CA3-4563-44DA-9905-AE464A0630B6}"/>
    <hyperlink ref="F858" r:id="rId712" xr:uid="{B408BCA5-B27C-48D0-955B-2FC55D591BE3}"/>
    <hyperlink ref="F859" r:id="rId713" xr:uid="{D76E7ECC-5067-42D6-8C52-4A94632C1284}"/>
    <hyperlink ref="F860" r:id="rId714" xr:uid="{7D324CC3-38C2-4EEA-8CFE-AAEC2F1D00A3}"/>
    <hyperlink ref="F861" r:id="rId715" xr:uid="{ED1356C3-5D10-4720-BEEA-8C0A1134F3E2}"/>
    <hyperlink ref="F863" r:id="rId716" xr:uid="{D285D986-4288-47F6-A787-9C0E5AFD888D}"/>
    <hyperlink ref="F862" r:id="rId717" xr:uid="{955CF903-6125-4905-B671-1C3B18D4FB7B}"/>
    <hyperlink ref="F870" r:id="rId718" xr:uid="{9FB86813-1D98-42CA-A92B-59EF44D2D2F9}"/>
    <hyperlink ref="F871" r:id="rId719" xr:uid="{4E5D9559-E44C-4295-811A-5E77DFA12DDA}"/>
    <hyperlink ref="F872" r:id="rId720" xr:uid="{4F93EA40-4CD3-47B7-AB09-2861570E1F89}"/>
    <hyperlink ref="F875" r:id="rId721" xr:uid="{26CA7AC7-E1BC-4A63-A813-01C772E632D3}"/>
    <hyperlink ref="F876" r:id="rId722" xr:uid="{B82964F4-A186-4A9B-BAEB-F1C03BAFBE7E}"/>
    <hyperlink ref="F877" r:id="rId723" xr:uid="{12D8D764-40FB-424C-BEFD-4C3184B61D3F}"/>
    <hyperlink ref="F878" r:id="rId724" xr:uid="{C0DA5E67-97B8-4F79-9700-572A21A8D105}"/>
    <hyperlink ref="F879" r:id="rId725" xr:uid="{E37BB555-C581-41A6-BB3B-9F52FA2FEF85}"/>
    <hyperlink ref="F880" r:id="rId726" xr:uid="{FF76B8DD-FA9C-451B-87F4-745177CB802D}"/>
    <hyperlink ref="F881" r:id="rId727" xr:uid="{AF5696B7-98A1-45E2-8FD5-23B8E497AF60}"/>
    <hyperlink ref="F882" r:id="rId728" xr:uid="{0A6182A3-F7F4-43CD-8E6E-ADACA64EE7E6}"/>
    <hyperlink ref="F883" r:id="rId729" xr:uid="{B293F07F-20BF-408F-A03F-5FCC9C43FC82}"/>
    <hyperlink ref="F884" r:id="rId730" xr:uid="{3AE1F470-1627-49E0-A727-35CD72D711D2}"/>
    <hyperlink ref="F885" r:id="rId731" xr:uid="{D8ABBA3C-0F66-42D5-8DEA-60A50BC75A8A}"/>
    <hyperlink ref="F886" r:id="rId732" xr:uid="{BFBEA758-CD14-48FC-B5BA-469EBA2DC7D3}"/>
    <hyperlink ref="F887" r:id="rId733" xr:uid="{6BB7FC1E-DB7D-4850-9919-85509CDFB2EF}"/>
    <hyperlink ref="F888" r:id="rId734" xr:uid="{89E6E8FC-9DF0-4D1B-8251-4CC0DA5657FA}"/>
    <hyperlink ref="F889" r:id="rId735" xr:uid="{DF2EFB5B-FCE7-4B3D-8A13-A25ECF7ECFC7}"/>
    <hyperlink ref="F890" r:id="rId736" xr:uid="{E7749835-2AAC-4BA2-BC1D-87C513009434}"/>
    <hyperlink ref="F891" r:id="rId737" xr:uid="{D3EB64F9-F889-46A5-9243-11A278C72684}"/>
    <hyperlink ref="F892" r:id="rId738" xr:uid="{8D8A235C-CA9E-4116-8B01-B62C527FE43E}"/>
    <hyperlink ref="F893" r:id="rId739" xr:uid="{4835098B-2BAC-42E7-947B-65D742158AF6}"/>
    <hyperlink ref="F894" r:id="rId740" xr:uid="{E9435751-5F3A-4CB8-942C-FCEE01078183}"/>
    <hyperlink ref="F895" r:id="rId741" xr:uid="{70C0F376-DFF5-4E95-8757-A907B249B840}"/>
    <hyperlink ref="F896" r:id="rId742" xr:uid="{063EC1C8-80E3-4A70-B153-FD44B2FFF999}"/>
    <hyperlink ref="F897" r:id="rId743" xr:uid="{BEDD5B44-0912-4D62-ABC4-E38E93868697}"/>
    <hyperlink ref="F909" r:id="rId744" xr:uid="{E5389C74-A61D-484E-9331-05BDB780A804}"/>
    <hyperlink ref="F910" r:id="rId745" xr:uid="{D9FFE8E7-3D1F-4BFC-887D-E2069FE9F547}"/>
    <hyperlink ref="F911" r:id="rId746" xr:uid="{12AFEBE3-F04A-45EC-93FE-DCA7FEB5CA5A}"/>
    <hyperlink ref="F912" r:id="rId747" xr:uid="{72D00448-41F0-4824-8A8B-7AF040483060}"/>
    <hyperlink ref="F913" r:id="rId748" xr:uid="{97515E6B-16D4-4D8E-B6B5-31930A99032A}"/>
    <hyperlink ref="F919" r:id="rId749" xr:uid="{B5C8A7E6-1B1F-4E77-956E-E59D7FD8A0D4}"/>
    <hyperlink ref="F920" r:id="rId750" xr:uid="{EBAFD054-730F-4474-95D2-A1E856DF9825}"/>
    <hyperlink ref="F921" r:id="rId751" xr:uid="{436D729F-481C-4480-BB5E-DB28ACFA7270}"/>
    <hyperlink ref="F922" r:id="rId752" xr:uid="{0573AC7B-C3C1-42A1-815B-9EEFAE490D03}"/>
    <hyperlink ref="F923" r:id="rId753" xr:uid="{E3B75699-DE9C-434F-980D-BB0D1545619E}"/>
    <hyperlink ref="F924" r:id="rId754" xr:uid="{C75D6390-2F78-4D58-90AC-EDAC99CA7CC2}"/>
    <hyperlink ref="F925" r:id="rId755" xr:uid="{20F5CC5D-B65A-4B39-A808-7DE5E7E01CC5}"/>
    <hyperlink ref="F926" r:id="rId756" xr:uid="{BDAC1BC6-9ABF-4885-93DF-D93E161960E9}"/>
    <hyperlink ref="F927" r:id="rId757" xr:uid="{A059CCA7-4D1E-48B3-8856-02A4914FE529}"/>
    <hyperlink ref="F928" r:id="rId758" xr:uid="{E923D0EB-BC92-441D-9AC8-02860CF68B18}"/>
    <hyperlink ref="F929" r:id="rId759" xr:uid="{BA0A18A7-5E1F-4CC2-83FE-F213647CB8BD}"/>
    <hyperlink ref="F930" r:id="rId760" xr:uid="{6309392F-D987-4BC7-8D9A-DD443E363FCD}"/>
    <hyperlink ref="F938" r:id="rId761" xr:uid="{7207FF0E-A9A0-492A-A278-4C40D74D9DF6}"/>
    <hyperlink ref="F939" r:id="rId762" xr:uid="{5F40837C-0A0B-488D-A0BA-1D9AA7091398}"/>
    <hyperlink ref="F940" r:id="rId763" xr:uid="{B2AF264E-ED93-4B0D-8557-A9C9F0B6537E}"/>
    <hyperlink ref="F941" r:id="rId764" xr:uid="{EFB6D7AF-6A47-42C1-B962-4EC105378DC7}"/>
    <hyperlink ref="F942" r:id="rId765" xr:uid="{A9BA45FA-F34D-49A9-89D5-EDC23521F0C1}"/>
    <hyperlink ref="F943" r:id="rId766" xr:uid="{C6D2B0B3-692F-4943-B583-A4D42CEA9305}"/>
    <hyperlink ref="F944" r:id="rId767" xr:uid="{9FF606DC-55AD-4EF1-A485-957A648FA2A8}"/>
    <hyperlink ref="F945" r:id="rId768" display="Гель для стирки" xr:uid="{33D6E817-FD76-4BEB-A084-310A13E0B36B}"/>
    <hyperlink ref="F946" r:id="rId769" xr:uid="{24049197-F32D-4522-9294-D5E4FA6E1C33}"/>
    <hyperlink ref="F947" r:id="rId770" xr:uid="{13119818-65FF-4E16-BB71-F8E43E0E4B0A}"/>
    <hyperlink ref="F951" r:id="rId771" xr:uid="{2F937D87-9760-4883-B909-847DC89B5956}"/>
    <hyperlink ref="F952" r:id="rId772" xr:uid="{3D91B343-A72B-4118-BD28-3FDAE44278F3}"/>
    <hyperlink ref="F955" r:id="rId773" xr:uid="{53596A53-05B6-47C3-A70E-055BDE790136}"/>
    <hyperlink ref="F956" r:id="rId774" xr:uid="{543343C8-D1C1-4DB1-9B9F-F20324484E74}"/>
    <hyperlink ref="F968" r:id="rId775" xr:uid="{53D4826A-CC9B-47E3-8285-52A4CDFB706B}"/>
    <hyperlink ref="F957" r:id="rId776" xr:uid="{7D645D2E-325B-4C98-AF06-E845D5DA01A9}"/>
    <hyperlink ref="F958" r:id="rId777" xr:uid="{312068C0-4D65-49DB-9696-F6EA18B4E1E0}"/>
    <hyperlink ref="F953" r:id="rId778" xr:uid="{F0DE27E5-1017-4462-8670-18B89284D0E1}"/>
    <hyperlink ref="F948" r:id="rId779" xr:uid="{C28AC79E-4AA2-4571-8002-CFA7854E6572}"/>
    <hyperlink ref="F974" r:id="rId780" xr:uid="{A322FCFF-41A8-4AD0-8F83-D39100F9B41B}"/>
    <hyperlink ref="F967" r:id="rId781" xr:uid="{7451B2C1-DBAE-40E8-87C6-CCD7B1D17C83}"/>
    <hyperlink ref="F954" r:id="rId782" xr:uid="{87220EAE-B058-421E-A57C-87154D9E061A}"/>
    <hyperlink ref="F959" r:id="rId783" xr:uid="{19AD4F8E-7BBA-4A49-9E75-0D9B3D42A21C}"/>
    <hyperlink ref="F949" r:id="rId784" xr:uid="{4F41F7B6-9954-4728-A807-F40B6EF9C553}"/>
    <hyperlink ref="F950" r:id="rId785" xr:uid="{9C1F68A7-A3D4-4A34-B809-2ABCF8CC5DAF}"/>
    <hyperlink ref="F960" r:id="rId786" xr:uid="{597254BD-A6DA-4693-A507-68B9B9E939A5}"/>
    <hyperlink ref="F961" r:id="rId787" xr:uid="{BD452218-A7FF-4E8E-B16F-5831CEDAA92B}"/>
    <hyperlink ref="F969" r:id="rId788" xr:uid="{B9ED05DB-33A7-41BD-882E-73273E59BC9B}"/>
    <hyperlink ref="F970" r:id="rId789" xr:uid="{F469FDCF-BE25-4FE8-AC3A-5FE30A8E18B3}"/>
    <hyperlink ref="F971" r:id="rId790" xr:uid="{B0E021DB-A68F-4E71-A857-B4F3A7C11F8F}"/>
    <hyperlink ref="F962" r:id="rId791" xr:uid="{07FA6D59-1476-4FDB-9357-05B642A448C6}"/>
    <hyperlink ref="F963" r:id="rId792" xr:uid="{BE40B746-A7A7-481E-AF88-BA582C92546A}"/>
    <hyperlink ref="F972" r:id="rId793" xr:uid="{9F7AC561-86CE-4C41-9E96-2292EF823EE5}"/>
    <hyperlink ref="F973" r:id="rId794" xr:uid="{A8451489-13FE-4099-B63B-BACC4DD54A64}"/>
    <hyperlink ref="F964" r:id="rId795" xr:uid="{A1E72131-E907-4443-9163-D38A64B6F49F}"/>
    <hyperlink ref="F965" r:id="rId796" display="Книга Арифметика" xr:uid="{03E7F866-4ABA-469E-8BE6-B5815BDEE9CB}"/>
    <hyperlink ref="F966" r:id="rId797" xr:uid="{C805D424-4777-49F8-AEA3-B44AAD7F5943}"/>
    <hyperlink ref="F975" r:id="rId798" xr:uid="{9BE166A5-258F-4DBA-9BB9-07716CD12493}"/>
    <hyperlink ref="F976" r:id="rId799" xr:uid="{F2B785D7-B4EE-4EBE-B474-F9E2394FE639}"/>
    <hyperlink ref="F977" r:id="rId800" xr:uid="{765947ED-47D5-4BEB-90FD-74D6C08554D2}"/>
    <hyperlink ref="F978" r:id="rId801" xr:uid="{E785DDF3-A98D-45FF-97BF-3AC716D0C44E}"/>
    <hyperlink ref="F979" r:id="rId802" xr:uid="{EE024242-C527-44BE-8469-10E202F590BD}"/>
    <hyperlink ref="F980" r:id="rId803" xr:uid="{99FEF3DA-139B-4CC1-88B9-AB3D428FD767}"/>
    <hyperlink ref="F981" r:id="rId804" xr:uid="{EC2AEEEC-CF91-4557-86C1-AB2D6BF79032}"/>
    <hyperlink ref="F982" r:id="rId805" xr:uid="{53313AAD-55BC-4989-BC07-CC9CF669DB4C}"/>
    <hyperlink ref="F983" r:id="rId806" xr:uid="{81C07A86-A2D9-476E-95C7-03E02514C01D}"/>
    <hyperlink ref="F984" r:id="rId807" xr:uid="{BFF7462B-65D6-42B1-A649-49C183542076}"/>
    <hyperlink ref="F985" r:id="rId808" xr:uid="{BBAB1649-A623-478F-9235-055F458ED7C3}"/>
    <hyperlink ref="F986" r:id="rId809" xr:uid="{A0A8BADE-1F5B-4BE8-A843-172D173FDB5E}"/>
    <hyperlink ref="F987" r:id="rId810" xr:uid="{865CEFCE-7D76-4013-9183-0A08005F8931}"/>
    <hyperlink ref="F988" r:id="rId811" xr:uid="{3D056D5D-13FE-4D9F-BFC3-E85B7D9E435B}"/>
    <hyperlink ref="F989" r:id="rId812" xr:uid="{5DBA3E9F-D29B-4E81-AAF9-82F31F1F4C09}"/>
    <hyperlink ref="F990" r:id="rId813" display="Органайзер универсальный" xr:uid="{9FD5B039-3E73-45B2-9139-B1DA1C7F1668}"/>
    <hyperlink ref="F991" r:id="rId814" xr:uid="{5C61D4F6-71E8-4925-9D38-C7291785631C}"/>
    <hyperlink ref="F992" r:id="rId815" xr:uid="{596C71AE-A147-4060-AA3B-12DB891682EE}"/>
    <hyperlink ref="F993" r:id="rId816" xr:uid="{E7A029AF-7A53-45B0-8BE0-6F6A42A3D525}"/>
    <hyperlink ref="F994" r:id="rId817" display="Набор полотенце из микрофибры" xr:uid="{7084C06E-8F22-4D0C-A78B-BFE2DAE6AF58}"/>
    <hyperlink ref="F995" r:id="rId818" display="Макси для лица тканевые" xr:uid="{3466CDCC-C8D2-4F2D-96B7-FDB02E7554DB}"/>
    <hyperlink ref="F996" r:id="rId819" xr:uid="{8D3212EB-C8EB-49DB-983A-CD472788B158}"/>
    <hyperlink ref="F997" r:id="rId820" xr:uid="{03400E65-4CAA-4AFE-ACC3-589321D2704E}"/>
    <hyperlink ref="F1001" r:id="rId821" xr:uid="{000DB702-FB64-42C0-93E7-0E7CECCA65CE}"/>
    <hyperlink ref="F1002" r:id="rId822" xr:uid="{C968C353-C486-425E-BDC5-6154D8B8DD71}"/>
    <hyperlink ref="F1003" r:id="rId823" xr:uid="{51CD6CC6-1850-4078-B654-2C2724D77336}"/>
    <hyperlink ref="F1004" r:id="rId824" xr:uid="{33A29839-4D75-4151-B282-B0EB0EA412A2}"/>
    <hyperlink ref="F1005" r:id="rId825" xr:uid="{0534A65B-ED18-492E-8D3F-D1E8C060F5DE}"/>
    <hyperlink ref="F1006" r:id="rId826" xr:uid="{19BC5FDD-5033-4FB8-9E0E-9E38D65D3DA4}"/>
    <hyperlink ref="F1007" r:id="rId827" xr:uid="{AD67205A-8E12-4FCF-8A74-A35DB350B8B7}"/>
    <hyperlink ref="F1008" r:id="rId828" xr:uid="{385A21C4-E389-4955-BCB1-0A0DC685B2A3}"/>
    <hyperlink ref="F1009" r:id="rId829" xr:uid="{7CEBFCBE-89F7-448A-BB70-4B9B159F57D9}"/>
    <hyperlink ref="F1010" r:id="rId830" xr:uid="{A227C4A4-C44D-4454-B389-FF370FB57B38}"/>
    <hyperlink ref="F1011" r:id="rId831" xr:uid="{109F504F-B787-48A3-8283-431393FDD3B8}"/>
    <hyperlink ref="F1012" r:id="rId832" xr:uid="{3A13AA0A-1BD3-42DF-BE89-FC670A61F57E}"/>
    <hyperlink ref="F1013" r:id="rId833" xr:uid="{5845DD17-9FC2-4324-A7E8-FB52E39C3FB1}"/>
    <hyperlink ref="F1014" r:id="rId834" xr:uid="{5324D1B5-38FA-4A88-A247-45192C866313}"/>
    <hyperlink ref="F1015" r:id="rId835" xr:uid="{26162630-D34F-44F4-973F-22E4323C2519}"/>
    <hyperlink ref="F1016" r:id="rId836" xr:uid="{1FD47872-309C-4D2C-8E77-5CB73F1EB6AB}"/>
    <hyperlink ref="F1017" r:id="rId837" xr:uid="{15B9EB54-9873-42E7-9942-8772AE8FAED3}"/>
    <hyperlink ref="F1018" r:id="rId838" xr:uid="{93F407E2-2E19-45CD-8BC5-6A5C6181E443}"/>
    <hyperlink ref="F1019" r:id="rId839" xr:uid="{839637A3-915F-4844-AB65-19C44A0488EA}"/>
    <hyperlink ref="F1020" r:id="rId840" xr:uid="{3492832B-24E7-41C5-A00F-94273D1F7340}"/>
    <hyperlink ref="F1021" r:id="rId841" xr:uid="{5FDEBB56-4676-4F49-9F70-6E08616CF450}"/>
    <hyperlink ref="F1022" r:id="rId842" xr:uid="{D345483E-C2C2-4A87-AD5D-99BAB3406DC3}"/>
    <hyperlink ref="F1023" r:id="rId843" xr:uid="{7447B143-F0A7-4BAB-BE32-AFC186A061C1}"/>
    <hyperlink ref="F1024" r:id="rId844" xr:uid="{2108EFA1-2775-43A5-8234-5ECE4BB7ACED}"/>
    <hyperlink ref="F1025" r:id="rId845" xr:uid="{1A4A63ED-3060-4E7D-B1F6-66325FC4FCA0}"/>
    <hyperlink ref="F1027" r:id="rId846" xr:uid="{7A54EAF9-A1F3-4D05-9B1D-B6639CFA5116}"/>
    <hyperlink ref="F1044" r:id="rId847" xr:uid="{6FDE33AD-619D-4E9D-8E16-4AFD167A0413}"/>
    <hyperlink ref="F1045" r:id="rId848" xr:uid="{A7B3FCCD-ECC4-4356-A325-04A296A80781}"/>
    <hyperlink ref="F1046" r:id="rId849" xr:uid="{F39E5D0E-1CEB-4E98-AA7D-2C81A63ECF0D}"/>
    <hyperlink ref="F1047" r:id="rId850" xr:uid="{2DBDEC8F-AFE3-41C7-BE79-2C6B1773149D}"/>
    <hyperlink ref="F1048" r:id="rId851" xr:uid="{06F1812E-DDFE-406F-B6B9-1D50729A1E87}"/>
    <hyperlink ref="F1049" r:id="rId852" xr:uid="{D987F5A7-0ACC-4716-A353-6EEA58E88DD2}"/>
    <hyperlink ref="F1050" r:id="rId853" xr:uid="{0DA878BC-F6C2-4A80-BFF3-3ADD44E6B2E2}"/>
    <hyperlink ref="F1051" r:id="rId854" xr:uid="{7A4FF5FB-C768-4D14-B49E-CD7A69F64DAD}"/>
    <hyperlink ref="F1052" r:id="rId855" xr:uid="{2E470A9A-C5C5-41F7-8481-A09E0EA8AA24}"/>
    <hyperlink ref="F1042" r:id="rId856" xr:uid="{9532D46D-4EB6-4F6C-9A37-81512E47E9A7}"/>
    <hyperlink ref="F1043" r:id="rId857" xr:uid="{58029311-D05A-429F-9F9B-DFFECAB9B5AE}"/>
    <hyperlink ref="F1053" r:id="rId858" xr:uid="{10B1DC3A-0580-494E-A2FA-E7CD3E9A6ECF}"/>
    <hyperlink ref="F1054" r:id="rId859" xr:uid="{6D306D70-59DC-4F10-B4E4-D300F132E546}"/>
    <hyperlink ref="F1055" r:id="rId860" xr:uid="{A5D4ECFB-79AD-48F7-A98F-F620E0DCA4CC}"/>
    <hyperlink ref="F1056" r:id="rId861" xr:uid="{577EEB91-0834-498A-97BF-B1E4E89E0A52}"/>
    <hyperlink ref="F1057" r:id="rId862" xr:uid="{3411EA5E-2DD9-4A05-B2C2-E5AC2FE07AF1}"/>
    <hyperlink ref="F1058" r:id="rId863" xr:uid="{776D4428-736F-4CE8-9929-CB25932A7034}"/>
    <hyperlink ref="F1059" r:id="rId864" xr:uid="{A959A7F0-AD78-4BD4-BF25-0E590ADC83B4}"/>
    <hyperlink ref="F1060" r:id="rId865" xr:uid="{98F7901A-9024-47B1-8883-593ED567B38E}"/>
    <hyperlink ref="F1061" r:id="rId866" xr:uid="{41540B74-AC06-4AAC-8A1F-A285CB1EA9B4}"/>
    <hyperlink ref="F1062" r:id="rId867" xr:uid="{49E58B4B-B970-414C-AF85-64274DBE8C75}"/>
    <hyperlink ref="F1063" r:id="rId868" xr:uid="{971C7C98-9A44-48A3-8448-6BDA0DB362B3}"/>
    <hyperlink ref="F1064" r:id="rId869" xr:uid="{C8AB41E9-24C3-42C8-AC24-ABF5C41EA8C8}"/>
    <hyperlink ref="F1065" r:id="rId870" xr:uid="{1C887CE6-BC78-45CB-91ED-6ABFB0451A75}"/>
    <hyperlink ref="F1066" r:id="rId871" xr:uid="{28D0B432-B541-4877-AE29-B4A3B67042EC}"/>
    <hyperlink ref="F1067" r:id="rId872" xr:uid="{8270575E-9723-48BE-811D-B910A24676A0}"/>
    <hyperlink ref="F1068" r:id="rId873" xr:uid="{48BF2FC3-AAC3-4137-85A0-3059EEC14480}"/>
    <hyperlink ref="F1069" r:id="rId874" xr:uid="{062AF61E-FA44-4C46-8CA4-F3EB4F6BBB45}"/>
    <hyperlink ref="F1070" r:id="rId875" xr:uid="{AB61E173-EC48-4374-99A5-80F335464475}"/>
    <hyperlink ref="F1071" r:id="rId876" xr:uid="{FD48B343-98F9-437E-BCD9-FB72CAC16516}"/>
    <hyperlink ref="F1072" r:id="rId877" xr:uid="{77B7B839-9BF7-4154-858C-3023803A7645}"/>
    <hyperlink ref="F1073" r:id="rId878" xr:uid="{54CE3C0C-FFEE-4EBD-A24C-BBA535E34F18}"/>
    <hyperlink ref="F1074" r:id="rId879" xr:uid="{2EB1C0C3-161D-428E-907B-4870679058DF}"/>
    <hyperlink ref="F1075" r:id="rId880" xr:uid="{F0419B94-0B40-452E-9A5D-A64E0EF3394B}"/>
    <hyperlink ref="F1077" r:id="rId881" xr:uid="{44E1A04E-BF64-4FD6-8A38-E03734B403F6}"/>
    <hyperlink ref="F1078" r:id="rId882" xr:uid="{9C3DA19E-0829-48CE-9548-C19454171B55}"/>
    <hyperlink ref="F1079" r:id="rId883" xr:uid="{1F2EF1CF-EC66-41C8-B857-C4F4E52CE74B}"/>
    <hyperlink ref="F1080" r:id="rId884" xr:uid="{EAA89A72-4C46-4192-A1AC-6D47A1642633}"/>
    <hyperlink ref="F1081" r:id="rId885" xr:uid="{79A6D03F-D4B3-4D5D-9D23-EDCC58A87EEF}"/>
    <hyperlink ref="F1082" r:id="rId886" xr:uid="{0F194952-A52E-435C-874D-D371933C265F}"/>
    <hyperlink ref="F1086" r:id="rId887" xr:uid="{8556C75A-740E-4717-B278-0349ACB2FA3C}"/>
    <hyperlink ref="F1088" r:id="rId888" xr:uid="{68D952EB-A29B-4F73-B354-54E83E1E3D82}"/>
    <hyperlink ref="F1089" r:id="rId889" xr:uid="{D0FF042C-ADE8-483F-A512-B180E41D4386}"/>
    <hyperlink ref="F1090" r:id="rId890" xr:uid="{EAF6FEB2-69E3-4C65-A294-742A991FCF88}"/>
    <hyperlink ref="F1087" r:id="rId891" xr:uid="{35148F9D-C761-426C-9043-42FB2DCAFC28}"/>
    <hyperlink ref="F1091" r:id="rId892" xr:uid="{5821C445-1062-4150-9E5E-01155EAB3810}"/>
    <hyperlink ref="F1092" r:id="rId893" xr:uid="{0DE60075-8E42-439C-BD02-C724F48CB87C}"/>
    <hyperlink ref="F1093" r:id="rId894" xr:uid="{7543BB62-EAFB-4812-9C3A-DEFD75063EAD}"/>
    <hyperlink ref="F1094" r:id="rId895" xr:uid="{8D4B6E32-8619-4414-98CF-0961B3346079}"/>
    <hyperlink ref="F1095" r:id="rId896" display="Нитки капроновые" xr:uid="{C343E25E-5526-4ADF-825B-684CA5A68965}"/>
    <hyperlink ref="F1096" r:id="rId897" xr:uid="{5B148269-D50D-4FCF-9612-19A5C9F68ADD}"/>
    <hyperlink ref="F1097" r:id="rId898" xr:uid="{17B62A18-E18E-46DC-BDAB-11B731F93610}"/>
    <hyperlink ref="F1098" r:id="rId899" xr:uid="{B009CF18-AB36-4B84-A15C-D2C958B633F7}"/>
    <hyperlink ref="F1099" r:id="rId900" xr:uid="{0E3DA2A3-8782-4E3B-97B5-7428265C77AC}"/>
    <hyperlink ref="F1100" r:id="rId901" xr:uid="{76799C67-FD10-495D-A25F-ADAB2DE2C437}"/>
    <hyperlink ref="F1101" r:id="rId902" xr:uid="{1A3CBCB9-B4EC-4EDB-AF32-93B864F12CD1}"/>
    <hyperlink ref="F1102" r:id="rId903" xr:uid="{B4361834-9091-4656-BAC5-A7A0E13FE803}"/>
    <hyperlink ref="F1103" r:id="rId904" xr:uid="{C8229159-0FBD-430B-990F-C552488BC134}"/>
    <hyperlink ref="F1104" r:id="rId905" xr:uid="{C55A01C0-ADDA-46D3-8D71-FEA04A4F5F60}"/>
    <hyperlink ref="F1105" r:id="rId906" xr:uid="{25534748-E145-4E66-9936-193CD5229029}"/>
    <hyperlink ref="F1106" r:id="rId907" xr:uid="{AEF75643-308F-41EB-A5A1-F7E2977D95AE}"/>
    <hyperlink ref="F1107" r:id="rId908" xr:uid="{6E4F7B1C-01F5-4556-9C94-1AA91416B7AB}"/>
    <hyperlink ref="F1108" r:id="rId909" xr:uid="{184A61A1-B530-4B70-B41F-8384460CD76C}"/>
    <hyperlink ref="F1109" r:id="rId910" xr:uid="{2DC1C4AE-795C-4A89-AACC-E1D98D4FBD39}"/>
    <hyperlink ref="F1112" r:id="rId911" xr:uid="{972F48FF-D069-4327-A06C-70A68D722BAA}"/>
    <hyperlink ref="F1114" r:id="rId912" xr:uid="{16573510-CC8A-4275-B1B8-E759CDEAB90A}"/>
    <hyperlink ref="F1115" r:id="rId913" xr:uid="{41569AB7-D850-4BEA-9D2C-D485735D8823}"/>
    <hyperlink ref="F1116" r:id="rId914" xr:uid="{9B395350-7126-45E4-8D92-110A14B171E4}"/>
    <hyperlink ref="F1117" r:id="rId915" display="Ароматизаор Ваниль, Сандал, Роза" xr:uid="{5BCA0D30-0303-475C-A489-8CBD806F04BF}"/>
    <hyperlink ref="F1118" r:id="rId916" display="Ароматизаор Ваниль, Амбра, Лабданум" xr:uid="{E71F0592-F1BF-4833-AECD-1C9AA654FA43}"/>
    <hyperlink ref="F1119" r:id="rId917" xr:uid="{B4AFB9CC-B04B-4F43-A55B-34509289F19B}"/>
    <hyperlink ref="F1120" r:id="rId918" xr:uid="{563C06A3-3AE7-42E1-9A2D-5C5D88879502}"/>
    <hyperlink ref="F1121" r:id="rId919" xr:uid="{772AF5D1-0138-4BC7-9E49-798359AC885F}"/>
    <hyperlink ref="F1122" r:id="rId920" xr:uid="{C24C7D03-7AE5-4676-854C-4F1065CABCFD}"/>
    <hyperlink ref="F1123" r:id="rId921" xr:uid="{32AADB60-DF42-49B7-9E53-4A1AF4506B98}"/>
    <hyperlink ref="F1124" r:id="rId922" xr:uid="{740E2696-F07F-4DDC-9CC3-A033A1D7235F}"/>
    <hyperlink ref="F1125" r:id="rId923" xr:uid="{79A54AFC-888A-4920-AFD6-69243FF41BBD}"/>
    <hyperlink ref="F1126" r:id="rId924" xr:uid="{DFC3F8A0-156E-489E-9E96-A4B0E84F5C93}"/>
    <hyperlink ref="F1127" r:id="rId925" xr:uid="{333E7A38-89FF-4469-9CF1-27E1ABC32B50}"/>
    <hyperlink ref="F1128" r:id="rId926" xr:uid="{F2641153-F730-4298-B096-E3A58AA6AD6C}"/>
    <hyperlink ref="F1129" r:id="rId927" xr:uid="{2D7D327D-477F-49A0-9ABE-1C9989E39002}"/>
    <hyperlink ref="F1130" r:id="rId928" xr:uid="{933EA86F-B635-4C4C-BA21-272607153EB4}"/>
    <hyperlink ref="F1131" r:id="rId929" xr:uid="{2F984F4C-DF6A-4FD8-9840-E18C9B844AE5}"/>
    <hyperlink ref="F1132" r:id="rId930" xr:uid="{675DFE38-74E7-4ECA-A659-740C3E5C4569}"/>
    <hyperlink ref="F1133" r:id="rId931" xr:uid="{33E845AC-8507-4BE2-AA65-84AE1BA7D709}"/>
    <hyperlink ref="F1134" r:id="rId932" xr:uid="{D4F8B877-90AB-46CE-80D2-A01A4EDD7BAC}"/>
    <hyperlink ref="F1135" r:id="rId933" xr:uid="{F9DDF2FF-E8C6-49A6-8B57-D1DBAC0C1FEA}"/>
    <hyperlink ref="F1136" r:id="rId934" xr:uid="{BEFA64FD-EC03-4C3F-8401-14C0605257F0}"/>
    <hyperlink ref="F1110" r:id="rId935" xr:uid="{9C32560E-F93D-496D-A9BB-ED3EAA84F861}"/>
    <hyperlink ref="F1111" r:id="rId936" xr:uid="{8DD4F16E-71FA-4FCD-A56E-45F0427130DB}"/>
    <hyperlink ref="F1113" r:id="rId937" xr:uid="{D430A7AF-4FEF-4C4A-94C4-FAD5BE7745C6}"/>
    <hyperlink ref="F1137" r:id="rId938" xr:uid="{6FFF26A6-B050-49C3-9C37-2C1A298AE060}"/>
    <hyperlink ref="F1138" r:id="rId939" xr:uid="{08C55A30-5DC1-44EF-AACC-86F382D58D4A}"/>
    <hyperlink ref="F1141" r:id="rId940" xr:uid="{1CAE528E-3028-48A7-9F04-5B4B67E3CC7A}"/>
    <hyperlink ref="F1142" r:id="rId941" xr:uid="{C207FE76-6992-4C14-B300-99D00317DAA8}"/>
    <hyperlink ref="F1143" r:id="rId942" xr:uid="{CBB32CF5-7F99-4A24-BCA4-FF8D4CE4F115}"/>
    <hyperlink ref="F1144" r:id="rId943" xr:uid="{4ED2ED3A-B4BF-4CBD-9BF1-3686D80E36C5}"/>
    <hyperlink ref="F1145" r:id="rId944" xr:uid="{7E245DE9-D112-4094-A14C-6E80C23E7A30}"/>
    <hyperlink ref="F1146" r:id="rId945" xr:uid="{FFD910CA-1CFD-40C1-8D08-93709777F578}"/>
    <hyperlink ref="F1147" r:id="rId946" xr:uid="{257BE160-6CF1-4F1E-BF87-14956DF3B18A}"/>
    <hyperlink ref="F1148" r:id="rId947" xr:uid="{6313B1AE-EAE2-4FB0-8080-6D8590BE6F68}"/>
    <hyperlink ref="F1149" r:id="rId948" xr:uid="{5F21F88B-E516-4CE0-A83A-0895390498F4}"/>
    <hyperlink ref="F1150" r:id="rId949" xr:uid="{DB498E96-E5F0-4E80-B89A-67C5789ED2E4}"/>
    <hyperlink ref="F1151" r:id="rId950" xr:uid="{83E9F74E-C9B3-4BAC-A3BE-CD62B469C687}"/>
    <hyperlink ref="F1152" r:id="rId951" xr:uid="{81D272CA-1A2D-4BB3-A822-E361606D40FA}"/>
    <hyperlink ref="F1153" r:id="rId952" xr:uid="{F42E2D5F-5FC0-447B-B612-D71FB7D2F756}"/>
    <hyperlink ref="F1154" r:id="rId953" xr:uid="{2D550D1B-123C-474E-8BAE-629A44936D59}"/>
    <hyperlink ref="F1155" r:id="rId954" xr:uid="{82205A6D-F782-4649-96D2-29FA9846F288}"/>
    <hyperlink ref="F1156" r:id="rId955" xr:uid="{FE6C9A0B-C656-494B-8CA9-E361EEB1507B}"/>
    <hyperlink ref="F1157" r:id="rId956" xr:uid="{12842D73-9583-454E-A386-F4CCDB1C23AC}"/>
    <hyperlink ref="F1159" r:id="rId957" xr:uid="{06658345-064D-461E-8115-78926B1EB112}"/>
    <hyperlink ref="F1160" r:id="rId958" xr:uid="{2568855F-8836-4809-88FA-B803B10A124F}"/>
    <hyperlink ref="F1161" r:id="rId959" xr:uid="{455590A1-4737-4FC6-B005-5FBC627BB371}"/>
    <hyperlink ref="F1162" r:id="rId960" xr:uid="{12ACFA8A-9762-4C25-8557-F3405D17B50B}"/>
    <hyperlink ref="F1163" r:id="rId961" xr:uid="{57B17462-AC74-4BA9-8B2A-B344AC66CB4F}"/>
    <hyperlink ref="F1164" r:id="rId962" xr:uid="{82FBAF82-1212-4214-BA1C-EB582BA66C99}"/>
    <hyperlink ref="F1165" r:id="rId963" xr:uid="{BACC231C-64BE-405A-84F6-E0B09626DDBE}"/>
    <hyperlink ref="F1166" r:id="rId964" xr:uid="{2E325CF2-CC8F-4D45-BCD2-9D6DD4F36AC5}"/>
    <hyperlink ref="F1167" r:id="rId965" xr:uid="{7F7D8D0E-C409-4174-AFD9-E5F7FEB990C9}"/>
    <hyperlink ref="F1168" r:id="rId966" xr:uid="{14C56793-82E1-489F-9131-4B98DD537C44}"/>
    <hyperlink ref="F1169" r:id="rId967" xr:uid="{5D30EFD9-93FE-43E2-B0DC-F3286E163E97}"/>
    <hyperlink ref="F1170" r:id="rId968" xr:uid="{253B806A-2428-4812-8603-5030BCDB109E}"/>
    <hyperlink ref="F1171" r:id="rId969" xr:uid="{62DAA3FE-661F-4C25-A0A6-A2246D584A54}"/>
    <hyperlink ref="F1173" r:id="rId970" xr:uid="{C0FF981A-5807-427D-9FEA-925EF5220F04}"/>
    <hyperlink ref="F1174" r:id="rId971" xr:uid="{670BE71C-12D4-4EB7-B3A9-05A38CC5A8C3}"/>
    <hyperlink ref="F1175" r:id="rId972" xr:uid="{074E1ECC-C1AB-425F-B289-66D622FBB6C4}"/>
    <hyperlink ref="F1176" r:id="rId973" xr:uid="{C8C86C7B-818F-4D8C-B09A-723AE227421A}"/>
    <hyperlink ref="F1177" r:id="rId974" xr:uid="{7DA1EA26-4098-4320-8FA9-14FD409B9820}"/>
    <hyperlink ref="F1178" r:id="rId975" xr:uid="{7ED97441-0B22-4270-AB5C-CEFC9C8D400D}"/>
    <hyperlink ref="F1179" r:id="rId976" xr:uid="{827FCD4F-FC83-4875-965B-3FE756ED078E}"/>
    <hyperlink ref="F1180" r:id="rId977" xr:uid="{1F02AB46-CA1F-41AC-8E86-4DAD3769ADE0}"/>
    <hyperlink ref="F1181" r:id="rId978" xr:uid="{FEE53BC9-C0E1-40C8-8414-78334B95FA57}"/>
    <hyperlink ref="F1182" r:id="rId979" xr:uid="{B80165F2-57E4-4361-8295-7C26F4383344}"/>
    <hyperlink ref="F1183" r:id="rId980" xr:uid="{653E5F9F-35AC-4B01-BB7C-E4679B791E79}"/>
    <hyperlink ref="F1184" r:id="rId981" xr:uid="{B58EBF1F-8CAC-4327-B396-D43779C93C17}"/>
    <hyperlink ref="F1190" r:id="rId982" xr:uid="{5A01AA75-E34C-414C-B702-2BC26065CFB7}"/>
    <hyperlink ref="F1191" r:id="rId983" xr:uid="{DCE4D3FE-3212-4A91-8FDC-5F7917116CA2}"/>
    <hyperlink ref="F1192" r:id="rId984" xr:uid="{7AD2EACF-6DC9-4626-BBC6-03775928AF24}"/>
    <hyperlink ref="F1193" r:id="rId985" xr:uid="{18560C00-6C79-4D94-A3EB-27882F552C40}"/>
    <hyperlink ref="F1194" r:id="rId986" xr:uid="{3451E7D5-1A04-486C-B891-EBCC0680D7D2}"/>
    <hyperlink ref="F1195" r:id="rId987" xr:uid="{12BBA6C7-57C1-41ED-B47E-05AC837D78DE}"/>
    <hyperlink ref="F1196" r:id="rId988" xr:uid="{E9F89B27-B9FF-42B0-A342-7C4B1FB40D95}"/>
    <hyperlink ref="F1197" r:id="rId989" xr:uid="{8D6AD974-A5DE-40CA-A4C6-457EDA1BD367}"/>
    <hyperlink ref="F1187" r:id="rId990" xr:uid="{F8D18B89-6144-45B3-BD56-1BEAE5B97352}"/>
    <hyperlink ref="F1198" r:id="rId991" xr:uid="{A8C9D64A-3C7F-4DDD-BB03-3701703E099E}"/>
    <hyperlink ref="F1200" r:id="rId992" xr:uid="{07D8A41F-93D7-41BC-B897-2CC2ECA81C85}"/>
    <hyperlink ref="F1201" r:id="rId993" xr:uid="{E81273AC-DBBC-42CB-A0F3-EEFED2A69053}"/>
    <hyperlink ref="F1202" r:id="rId994" xr:uid="{4771FDD2-16A9-4DFC-8E61-E570D78D833C}"/>
    <hyperlink ref="F1203" r:id="rId995" xr:uid="{B578E957-96E9-44BF-AB72-DF848EFEB911}"/>
    <hyperlink ref="F1204" r:id="rId996" xr:uid="{B40AA487-E182-4598-84D9-68DDBB0AF812}"/>
    <hyperlink ref="F1205" r:id="rId997" xr:uid="{FD696CD8-6711-42CF-AE6C-F666AD8D5A68}"/>
    <hyperlink ref="F1206" r:id="rId998" xr:uid="{1D141893-A8C1-41AB-A521-70A9798C1D78}"/>
    <hyperlink ref="F1207" r:id="rId999" xr:uid="{31556559-9503-4BCE-B86B-7CD895D4A99C}"/>
    <hyperlink ref="F1208" r:id="rId1000" display="Кольца для штор" xr:uid="{7F10296F-9E5F-470B-88DA-82950482F9B4}"/>
    <hyperlink ref="F1199" r:id="rId1001" xr:uid="{6A5FC450-4275-4427-8141-258EE86A4F57}"/>
    <hyperlink ref="F1209" r:id="rId1002" xr:uid="{89079FDD-4CBF-4D77-9A56-4A41FE6C8D40}"/>
    <hyperlink ref="F1210" r:id="rId1003" xr:uid="{AA6FAEA9-D8F6-4054-A0E4-5B25FC1546FC}"/>
    <hyperlink ref="F1211" r:id="rId1004" xr:uid="{3397E706-B956-4EA9-97A3-BA041B7E7873}"/>
    <hyperlink ref="F1212" r:id="rId1005" xr:uid="{3A20AA5B-B839-4587-A2E0-2500D567E234}"/>
    <hyperlink ref="F1213" r:id="rId1006" xr:uid="{DE53B17E-7783-44EC-9B1E-FA335502D844}"/>
    <hyperlink ref="F1214" r:id="rId1007" xr:uid="{527D05CD-1D20-4DB7-A3FD-03B77905E738}"/>
    <hyperlink ref="F1215" r:id="rId1008" xr:uid="{85DA3081-9F08-4360-8284-2314A14F465B}"/>
    <hyperlink ref="F1158" r:id="rId1009" xr:uid="{A583F60D-443E-4323-9F2F-3DCE0CFBBAEA}"/>
    <hyperlink ref="F1221" r:id="rId1010" xr:uid="{B0B7591A-5E69-46F4-A842-D797DE37B9BF}"/>
    <hyperlink ref="F1222" r:id="rId1011" xr:uid="{D3658413-82AA-4853-B733-25B10C8117BB}"/>
    <hyperlink ref="F1225" r:id="rId1012" xr:uid="{BC19EE5E-BCE3-4F5A-846E-ACE07A97232C}"/>
    <hyperlink ref="F1226" r:id="rId1013" xr:uid="{5C7EDDFB-0FBD-4389-B796-608F422EE79C}"/>
    <hyperlink ref="F1227" r:id="rId1014" xr:uid="{9105418E-DE14-4D5D-9B58-626C9FF54253}"/>
    <hyperlink ref="F1228" r:id="rId1015" xr:uid="{E7B381E5-FF46-4B13-9641-421865943FAD}"/>
    <hyperlink ref="F1229" r:id="rId1016" xr:uid="{BB68B51B-2898-4A58-B14D-A3692C987159}"/>
    <hyperlink ref="F1230" r:id="rId1017" xr:uid="{65E1A9AA-BFCE-4565-9100-6F68AC1FE014}"/>
    <hyperlink ref="F1231" r:id="rId1018" xr:uid="{DCCD92A6-1469-4524-9259-60B586669D81}"/>
    <hyperlink ref="F1232" r:id="rId1019" xr:uid="{E145B899-0085-4650-9760-6D33E24BA616}"/>
    <hyperlink ref="F1233" r:id="rId1020" xr:uid="{933F761B-FF83-4467-81D6-FB0FB65480C4}"/>
    <hyperlink ref="F1234" r:id="rId1021" xr:uid="{7D09CAB5-85E1-4D0E-9C54-AAF4BAC08735}"/>
    <hyperlink ref="F1235" r:id="rId1022" xr:uid="{7AE22DE3-D335-4AA7-83B6-9A55153BC7A9}"/>
    <hyperlink ref="F1237" r:id="rId1023" xr:uid="{BFACD641-7133-4354-BE88-8992D64B4CD3}"/>
    <hyperlink ref="F1236" r:id="rId1024" xr:uid="{F06319CD-CBD6-446D-B41E-CDB54EA83A56}"/>
    <hyperlink ref="F1238" r:id="rId1025" xr:uid="{03366BAA-9FFA-4D72-903F-5CEAA8B551D5}"/>
    <hyperlink ref="F1239" r:id="rId1026" xr:uid="{5755E561-6B28-4387-916E-EC9941D7195B}"/>
    <hyperlink ref="F1240" r:id="rId1027" xr:uid="{03F5683C-3EDE-439D-A0DE-F191B50BB11F}"/>
    <hyperlink ref="F1241" r:id="rId1028" xr:uid="{88F90D02-E230-41B6-8793-F329D71F678A}"/>
    <hyperlink ref="F1242" r:id="rId1029" xr:uid="{FC08F3E1-F863-434D-B2C1-D28536F0D2CE}"/>
    <hyperlink ref="F1243" r:id="rId1030" xr:uid="{C47B7F19-F71F-40DC-BB9D-EC1C4F31764E}"/>
    <hyperlink ref="F1244" r:id="rId1031" display="Диффузор для дома" xr:uid="{9A579B6E-B0BC-431D-B7E2-8C4836D59B73}"/>
    <hyperlink ref="F1245" r:id="rId1032" xr:uid="{0B258160-BBF0-4291-961F-2AFE8CC3DE56}"/>
    <hyperlink ref="F1246" r:id="rId1033" xr:uid="{C3BDF83E-948B-4BD7-AD2F-1E6EFDEB9E84}"/>
    <hyperlink ref="F1247" r:id="rId1034" xr:uid="{838A91EA-DD15-4062-A6CF-03D699FBF175}"/>
    <hyperlink ref="F1248" r:id="rId1035" xr:uid="{9CF75BCC-AE79-4ABF-AE81-F2EC0B6C80DB}"/>
    <hyperlink ref="F1249" r:id="rId1036" xr:uid="{FB09CCFF-46E6-4049-B305-DB7CC1C4DFBF}"/>
    <hyperlink ref="F1250" r:id="rId1037" xr:uid="{18CCC185-E141-436F-9C6A-A90A6FF882AC}"/>
    <hyperlink ref="F1251" r:id="rId1038" xr:uid="{1512241B-3DB6-4F4E-9A56-7C6D409F1871}"/>
    <hyperlink ref="F1252" r:id="rId1039" xr:uid="{58CF9F60-8550-49A9-8955-4E8C224B2941}"/>
    <hyperlink ref="F1253" r:id="rId1040" xr:uid="{87626991-109C-4DC7-B406-FC39112D3B2B}"/>
    <hyperlink ref="F1254" r:id="rId1041" xr:uid="{CA316F7A-8AB7-43A0-8802-2DD9799E841F}"/>
    <hyperlink ref="F1255" r:id="rId1042" xr:uid="{F5229798-3D47-4A07-A87A-4029532080E0}"/>
    <hyperlink ref="F1256" r:id="rId1043" xr:uid="{2FEF904F-484E-47EE-8D1D-F1492717A0DA}"/>
    <hyperlink ref="F1257" r:id="rId1044" xr:uid="{7E1A42A1-AA60-44A1-8329-8A57579E5240}"/>
    <hyperlink ref="F1258" r:id="rId1045" xr:uid="{AE2C3A6C-E40F-4010-8CC9-A561AE014A46}"/>
    <hyperlink ref="F1259" r:id="rId1046" xr:uid="{CA600483-AA92-47C6-9475-8F90A38C0545}"/>
    <hyperlink ref="F1260" r:id="rId1047" xr:uid="{E62193A7-84A6-459A-A637-079100424118}"/>
    <hyperlink ref="F1261" r:id="rId1048" xr:uid="{F98FDE68-38FE-447F-AD87-986985742F6A}"/>
    <hyperlink ref="F1262" r:id="rId1049" xr:uid="{E9629689-6E14-4759-8315-CAD430E84384}"/>
    <hyperlink ref="F1263" r:id="rId1050" xr:uid="{4CA3DF57-C5C9-4068-9176-D504288045C2}"/>
    <hyperlink ref="F1264" r:id="rId1051" xr:uid="{6C7D28C8-5930-44A9-BFAB-DFD842A6EF65}"/>
    <hyperlink ref="F1265" r:id="rId1052" xr:uid="{95207E53-4154-4F07-8756-DAACAEBD75B3}"/>
    <hyperlink ref="F1266" r:id="rId1053" xr:uid="{C3453157-BB74-499C-8006-69D157D6D625}"/>
    <hyperlink ref="F1267" r:id="rId1054" xr:uid="{4CA6F87D-AA0E-4EE1-AFF5-6E8EF7F6B3EB}"/>
    <hyperlink ref="F1268" r:id="rId1055" xr:uid="{4A261A84-637E-47D4-8D7A-57D0CF2B9641}"/>
    <hyperlink ref="F1269" r:id="rId1056" xr:uid="{35BABBD3-D57A-4237-A4C0-4B7D722CEAED}"/>
    <hyperlink ref="F1270" r:id="rId1057" xr:uid="{2C436E51-A783-4430-9513-790AF05F0CB5}"/>
    <hyperlink ref="F1271" r:id="rId1058" xr:uid="{D8EA8DCE-431F-4171-B940-5DB7C23FFFA2}"/>
    <hyperlink ref="F1276" r:id="rId1059" xr:uid="{26777C6E-9425-48B4-9388-F4FF2B9A8ACB}"/>
    <hyperlink ref="F1280" r:id="rId1060" xr:uid="{8DCD905A-7B6E-4193-A53E-DE786192C31B}"/>
    <hyperlink ref="F1281" r:id="rId1061" xr:uid="{A6696D40-70D0-466A-B5C2-3DD5D22FF19D}"/>
    <hyperlink ref="F1282" r:id="rId1062" xr:uid="{CB93FBB0-A188-4F11-9576-0C9927CBE892}"/>
    <hyperlink ref="F1283" r:id="rId1063" xr:uid="{FB1A6A98-072B-4E1F-963C-9782AD7D5190}"/>
    <hyperlink ref="F1284" r:id="rId1064" xr:uid="{02049757-A4F4-473A-B892-9B91B50EF169}"/>
    <hyperlink ref="F1285" r:id="rId1065" xr:uid="{EBE2D4BA-AE66-4FCE-BAD5-E3CB6C59652C}"/>
    <hyperlink ref="F1286" r:id="rId1066" xr:uid="{A4AC9295-491E-4D27-A7B3-31F2BD331444}"/>
    <hyperlink ref="F1287" r:id="rId1067" xr:uid="{9EADDD0C-B701-4E07-BD59-F426848BBBEB}"/>
    <hyperlink ref="F1288" r:id="rId1068" xr:uid="{9C60D4C0-0952-4B16-B382-0389908AD6F9}"/>
    <hyperlink ref="F1289" r:id="rId1069" xr:uid="{3684455F-A18A-4396-85A8-1451056A9838}"/>
    <hyperlink ref="F1290" r:id="rId1070" xr:uid="{460DB499-6776-4C5A-8516-2044596EBFCE}"/>
    <hyperlink ref="F1291" r:id="rId1071" xr:uid="{404E2D4E-E94B-4C6B-9665-578DA09F5113}"/>
    <hyperlink ref="F1292" r:id="rId1072" xr:uid="{52594194-0D51-415B-AC6E-4FBB095F3370}"/>
    <hyperlink ref="F1293" r:id="rId1073" xr:uid="{A6F9A3C7-1220-4C28-B6B5-026F0D0DDA1E}"/>
    <hyperlink ref="F1294" r:id="rId1074" xr:uid="{DF7ABEAE-7FC0-4A7A-B272-96973CCFD30D}"/>
    <hyperlink ref="F1295" r:id="rId1075" xr:uid="{BF047BCD-77F0-4125-9604-8A8465F53CAB}"/>
    <hyperlink ref="F1296" r:id="rId1076" xr:uid="{C756DF51-2F45-4FE4-B20C-B3D2B30DDA42}"/>
    <hyperlink ref="F1297" r:id="rId1077" xr:uid="{F96704AE-B6A7-4DF8-8A7F-6A853DAD4A1C}"/>
    <hyperlink ref="F1298" r:id="rId1078" xr:uid="{6924A3CE-C3D8-4C4B-B1DB-86AEE1822AF8}"/>
    <hyperlink ref="F1299" r:id="rId1079" xr:uid="{88BB90D6-F9F5-47CF-AADC-E55626DC1A77}"/>
    <hyperlink ref="F1300" r:id="rId1080" xr:uid="{43F47BF0-23A7-4ACB-B14D-18A09C45FECD}"/>
    <hyperlink ref="F1301" r:id="rId1081" xr:uid="{6A761DA9-ED32-44EC-8374-F0EC714857FA}"/>
    <hyperlink ref="F1302" r:id="rId1082" xr:uid="{9621E38C-5E21-4C04-BF29-3B2BB14956FB}"/>
    <hyperlink ref="F1303" r:id="rId1083" xr:uid="{810063C1-7363-4FB6-B1B6-F8BCB4292729}"/>
    <hyperlink ref="F1304" r:id="rId1084" xr:uid="{11D5E21E-54C2-42C5-9F4F-8B253205CDB5}"/>
    <hyperlink ref="F1305" r:id="rId1085" xr:uid="{DC696637-D6B3-462F-9574-1244F588E5DB}"/>
    <hyperlink ref="F1306" r:id="rId1086" xr:uid="{9CF1ECFC-A942-4878-BA89-B330FB291786}"/>
    <hyperlink ref="F1307" r:id="rId1087" xr:uid="{443E22F7-61F3-4590-89B4-AA43B4334432}"/>
    <hyperlink ref="F1310" r:id="rId1088" xr:uid="{1893E0B1-A2C2-402E-9C91-BDFAB390FF11}"/>
    <hyperlink ref="F1315" r:id="rId1089" xr:uid="{3B7E88B1-C8F1-42FC-8A19-728A2E271F93}"/>
    <hyperlink ref="F1316" r:id="rId1090" xr:uid="{AB1D99C4-0662-45AC-9208-3F0ED59E2EDC}"/>
    <hyperlink ref="F1317" r:id="rId1091" xr:uid="{A0FD4092-9B0F-45E4-8392-239D34A58EC8}"/>
    <hyperlink ref="F1318" r:id="rId1092" xr:uid="{B30EE394-00C0-4C44-8559-63A10333255E}"/>
    <hyperlink ref="F1319" r:id="rId1093" xr:uid="{811E3146-1FC4-499B-A5C8-6DFCD8E5C053}"/>
    <hyperlink ref="F1320" r:id="rId1094" xr:uid="{FD27FB40-64AC-4D77-A273-3B8C66D958F0}"/>
    <hyperlink ref="F1321" r:id="rId1095" xr:uid="{18E7005D-3BB3-413F-89FF-E0FB0D9042DE}"/>
    <hyperlink ref="F1322" r:id="rId1096" xr:uid="{4F04DAA9-D3C2-4796-AA53-55CD0C0B5FA9}"/>
    <hyperlink ref="F1323" r:id="rId1097" xr:uid="{5F3FE436-77B1-437B-9B01-3B09AE7B3E57}"/>
    <hyperlink ref="F1324" r:id="rId1098" xr:uid="{9656383A-BBB9-485F-A5DB-AD0EE9664183}"/>
    <hyperlink ref="F1325" r:id="rId1099" xr:uid="{75EA5B38-341F-4B60-AC69-E3B549408A16}"/>
    <hyperlink ref="F1326" r:id="rId1100" xr:uid="{22ED1240-EDE4-40A3-BB8C-1349D448F378}"/>
    <hyperlink ref="F1327" r:id="rId1101" xr:uid="{7918DAC6-2BDA-4454-A3BD-1F8AE20F93B3}"/>
    <hyperlink ref="F1328" r:id="rId1102" xr:uid="{3A94AC4C-5655-44B1-AF9D-DDA817ECF6CF}"/>
    <hyperlink ref="F1329" r:id="rId1103" xr:uid="{459DE836-5E83-4F4C-9546-FAB56DB8352F}"/>
    <hyperlink ref="F1330" r:id="rId1104" xr:uid="{70CCC2DD-C293-4738-B4CE-8468CDAD35BE}"/>
    <hyperlink ref="F1331" r:id="rId1105" xr:uid="{B1D6AB25-5532-498A-BD01-0F432A69BA26}"/>
    <hyperlink ref="F1332" r:id="rId1106" xr:uid="{60BE6233-5460-4D39-92FD-FC3E70FC9A31}"/>
    <hyperlink ref="F1333" r:id="rId1107" xr:uid="{577F3C7D-AE78-46CC-AB40-114525315274}"/>
    <hyperlink ref="F1334" r:id="rId1108" xr:uid="{55418290-8451-498A-9D81-7D649BD16957}"/>
    <hyperlink ref="F1335" r:id="rId1109" xr:uid="{FECB8934-E4BA-4CF6-9730-604FFB8ADC4F}"/>
    <hyperlink ref="F1336" r:id="rId1110" xr:uid="{ACF5C2A0-A5F7-49F2-8E8C-FDB9C6CE249A}"/>
    <hyperlink ref="F1337" r:id="rId1111" xr:uid="{32AB903A-A9E8-4858-8293-3B1C8BC92AA5}"/>
    <hyperlink ref="F1338" r:id="rId1112" xr:uid="{041B1157-E015-419E-B3CA-1F16BD065E31}"/>
    <hyperlink ref="F1339" r:id="rId1113" xr:uid="{E67464B4-A41A-4D18-9ADC-3E053D226609}"/>
    <hyperlink ref="F1340" r:id="rId1114" xr:uid="{8C5D4F6C-A27F-4BA5-8E12-72FB84D191EF}"/>
    <hyperlink ref="F1341" r:id="rId1115" xr:uid="{CA3463D8-8A7A-46D1-B5F5-D6A527FFAA6A}"/>
    <hyperlink ref="F1342" r:id="rId1116" xr:uid="{2B842B70-9B5E-4435-BF34-EB8F07161E07}"/>
    <hyperlink ref="F1343" r:id="rId1117" xr:uid="{3AB80869-5862-4867-BBD9-24699B39097D}"/>
    <hyperlink ref="F1344" r:id="rId1118" xr:uid="{4B984B67-CAB9-48EF-A5C0-52CC24D6521D}"/>
    <hyperlink ref="F1345" r:id="rId1119" xr:uid="{A34ACF6E-48D1-4863-961D-3BF66AD0CA78}"/>
    <hyperlink ref="F1346" r:id="rId1120" xr:uid="{D2C807A0-4EE8-4F3D-984B-55C8646589EF}"/>
    <hyperlink ref="F1347" r:id="rId1121" xr:uid="{7E0A1157-9EE4-42BB-95EA-202158F34D91}"/>
    <hyperlink ref="F1348" r:id="rId1122" xr:uid="{517C6A15-D505-48A5-915A-762CD97C15AE}"/>
    <hyperlink ref="F1349" r:id="rId1123" xr:uid="{744647B1-DD19-4891-BC19-6BE6B5EB5D8D}"/>
    <hyperlink ref="F1350" r:id="rId1124" xr:uid="{7262E1C1-974F-4546-AAA2-E355334935EC}"/>
    <hyperlink ref="F1351" r:id="rId1125" xr:uid="{92625031-9518-4E0A-8CD0-FE44FD588309}"/>
    <hyperlink ref="F1356" r:id="rId1126" xr:uid="{9766C7C1-77BF-4460-9D7B-A153DA7E0E80}"/>
    <hyperlink ref="F1357" r:id="rId1127" display="Наконечник втулочный" xr:uid="{9A4653DD-A345-403B-B60D-AC754E670018}"/>
    <hyperlink ref="F1358" r:id="rId1128" xr:uid="{A3E05AD5-4296-4BC5-992B-10DEF77A28E9}"/>
    <hyperlink ref="F1359" r:id="rId1129" xr:uid="{AB19FA05-A0E1-4C15-98A4-353F739AF4C4}"/>
    <hyperlink ref="F1360" r:id="rId1130" xr:uid="{77FB6B65-C2EB-465B-87DD-9688557954D5}"/>
    <hyperlink ref="F1361" r:id="rId1131" xr:uid="{B5329BA9-7AD3-4579-952D-006BCF986735}"/>
    <hyperlink ref="F1362" r:id="rId1132" xr:uid="{F9FBD09B-8B01-4992-823A-AD84438CA35E}"/>
    <hyperlink ref="F1363" r:id="rId1133" xr:uid="{F3A1E907-A6C7-48A4-9AC6-7F4FFC51CDB4}"/>
    <hyperlink ref="F1364" r:id="rId1134" xr:uid="{79A788EF-4359-435A-8D03-69422E594801}"/>
    <hyperlink ref="F1365" r:id="rId1135" xr:uid="{4BFF7B16-DCCF-4508-B26E-BFADA566527E}"/>
    <hyperlink ref="F1366" r:id="rId1136" xr:uid="{3E03701C-A461-49B6-B430-699256B8D025}"/>
    <hyperlink ref="F1367" r:id="rId1137" xr:uid="{F4B58177-934C-4D20-9AF4-9D741AE392FC}"/>
    <hyperlink ref="F1368" r:id="rId1138" xr:uid="{5EDA6E7D-4270-45E7-B0D8-710D0AFE4FD0}"/>
    <hyperlink ref="F1369" r:id="rId1139" xr:uid="{CF3043B0-1BC9-4B05-8E2C-D2346453BCD3}"/>
    <hyperlink ref="F1370" r:id="rId1140" xr:uid="{5831B9BA-21F5-4F5D-8656-51339F59671D}"/>
    <hyperlink ref="F1371" r:id="rId1141" xr:uid="{CBA0C322-4DD0-48AB-B443-3990861A6307}"/>
    <hyperlink ref="F1372" r:id="rId1142" xr:uid="{E10E4690-BB4F-46FE-A87D-C3380080AD7F}"/>
    <hyperlink ref="F1373" r:id="rId1143" xr:uid="{B44FDF15-8EAD-4B4E-8AB4-1FE48811CBDB}"/>
    <hyperlink ref="F1374" r:id="rId1144" xr:uid="{92064308-1427-4BCA-B74B-E545F570195C}"/>
    <hyperlink ref="F1375" r:id="rId1145" xr:uid="{B1650B1A-D2FE-4928-8C90-009DD9F05E75}"/>
    <hyperlink ref="F1376" r:id="rId1146" xr:uid="{C8B31A78-513D-48CE-B4E5-EACA468EAFF5}"/>
    <hyperlink ref="F1377" r:id="rId1147" xr:uid="{5BDB7F1B-CB47-4A10-B2AF-0359A3052472}"/>
    <hyperlink ref="F1378" r:id="rId1148" xr:uid="{62B9A80C-B250-49C5-B8C2-AC279852038B}"/>
    <hyperlink ref="F1379" r:id="rId1149" xr:uid="{DEDA75AD-C537-495D-ABA5-9D48D216D7B8}"/>
    <hyperlink ref="F1380" r:id="rId1150" xr:uid="{3A2EECBB-1927-4B9B-8DF0-038D4A29E97C}"/>
    <hyperlink ref="F1381" r:id="rId1151" xr:uid="{D3950FBF-14F6-46F9-9EDF-F8BA57C00F2D}"/>
    <hyperlink ref="F1382" r:id="rId1152" xr:uid="{29ADBE52-25B8-4DB2-8E07-1D37FDFB541D}"/>
    <hyperlink ref="F1383" r:id="rId1153" xr:uid="{BDB35ED8-A6FF-4F6B-B7DB-F57D057CB287}"/>
    <hyperlink ref="F1384" r:id="rId1154" xr:uid="{B3F091F2-7D7F-4EC9-97C7-5826C45F56AA}"/>
    <hyperlink ref="F1385" r:id="rId1155" xr:uid="{4FC2BE1A-6E24-4F99-A942-98ACFE42B522}"/>
    <hyperlink ref="F1386" r:id="rId1156" xr:uid="{98EFC19D-8E22-4C1D-8248-07AE63FB06B6}"/>
    <hyperlink ref="F1387" r:id="rId1157" xr:uid="{5FF9A01B-D84F-40E3-99C6-8FD292EB1548}"/>
    <hyperlink ref="F1388" r:id="rId1158" xr:uid="{E6D8B523-11C0-40D1-A55D-119AEB08D3CA}"/>
    <hyperlink ref="F1389" r:id="rId1159" xr:uid="{028D785D-6732-43A1-BB34-6C4DC99169B6}"/>
    <hyperlink ref="F1390" r:id="rId1160" xr:uid="{3C6221BA-FA03-4431-AA22-C6D0CD6B93A4}"/>
    <hyperlink ref="F1391" r:id="rId1161" xr:uid="{2DC5479B-AA5A-4CAF-8B3A-54764CAD7F5B}"/>
    <hyperlink ref="F1392" r:id="rId1162" xr:uid="{D9665C8F-9C30-4CDA-BC66-03F4A1CA9D47}"/>
    <hyperlink ref="F1393" r:id="rId1163" xr:uid="{6E1CB8C4-A1F0-4FD0-AE32-ACF9828A146B}"/>
    <hyperlink ref="F1394" r:id="rId1164" xr:uid="{561A7D6D-DBD9-4DAB-B0C7-B669447AD239}"/>
    <hyperlink ref="F1395" r:id="rId1165" xr:uid="{8869DA67-20EF-41EF-A986-8536D838B020}"/>
    <hyperlink ref="F1396" r:id="rId1166" xr:uid="{9BFB90B7-1197-44ED-931C-CFDD5946B651}"/>
    <hyperlink ref="F1397" r:id="rId1167" xr:uid="{A271B843-756A-49B0-BE20-EFDA7EE8F279}"/>
    <hyperlink ref="F1398" r:id="rId1168" xr:uid="{0224DF9B-5460-4BAC-9A81-CC46204E6E9C}"/>
    <hyperlink ref="F1399" r:id="rId1169" xr:uid="{2978841B-4419-40C4-8FB3-6E440FD378E4}"/>
    <hyperlink ref="F1400" r:id="rId1170" xr:uid="{5617FB8B-1F27-4BD3-87BF-693D01EDAFC2}"/>
    <hyperlink ref="F1401" r:id="rId1171" xr:uid="{9024951F-3C6C-4D4A-9E76-0D312674AD8D}"/>
    <hyperlink ref="F1402" r:id="rId1172" xr:uid="{A3523ABF-BAA3-4194-8FFF-A262D025C40A}"/>
    <hyperlink ref="F1403" r:id="rId1173" xr:uid="{8EE5440F-07B7-403E-8F3D-80B98BDA797E}"/>
    <hyperlink ref="F1404" r:id="rId1174" xr:uid="{592F99AB-3BA0-4807-AC1F-3F70CDE03758}"/>
    <hyperlink ref="F1405" r:id="rId1175" xr:uid="{A266D1D6-50FD-4628-BE85-993CCBA5BB44}"/>
    <hyperlink ref="F1406" r:id="rId1176" xr:uid="{75079596-84FA-4BF3-8FF1-99DE2F7737D4}"/>
    <hyperlink ref="F1411" r:id="rId1177" xr:uid="{3F876545-82B6-4E3C-BA49-AE07A3F87650}"/>
    <hyperlink ref="F1412" r:id="rId1178" xr:uid="{9D91D564-4EE9-41ED-BA74-1F33CD6F7BFA}"/>
    <hyperlink ref="F1413" r:id="rId1179" xr:uid="{7F93D61E-08DC-4F1E-B139-EC8EACFD8E1E}"/>
    <hyperlink ref="F1414" r:id="rId1180" xr:uid="{5FB88B5B-348A-4447-BEC7-031B0A39409C}"/>
    <hyperlink ref="F1415" r:id="rId1181" xr:uid="{7D8C1DCD-036F-4303-913C-27C535D2BB6E}"/>
    <hyperlink ref="F1416" r:id="rId1182" xr:uid="{561AD7D6-D453-4C17-9951-3C2AD545EF85}"/>
    <hyperlink ref="F1417" r:id="rId1183" xr:uid="{A34B3304-39E9-4BD2-958F-C06C1206296C}"/>
    <hyperlink ref="F1418" r:id="rId1184" xr:uid="{F55C0E42-11CD-42E3-8121-700463948BAA}"/>
    <hyperlink ref="F1419" r:id="rId1185" xr:uid="{2DF42E50-4A8A-4216-874B-108D43392FFA}"/>
    <hyperlink ref="F1420" r:id="rId1186" display="Прокладки Seni" xr:uid="{0444B6C5-0314-4C4B-94CA-EE16E55A9A68}"/>
    <hyperlink ref="F1421" r:id="rId1187" display="Прокладки урологические" xr:uid="{9B0410E3-A935-4719-B826-AC44A22163D8}"/>
    <hyperlink ref="F1422" r:id="rId1188" xr:uid="{3CBE4602-3A33-4802-B53C-4213AC584FB1}"/>
    <hyperlink ref="F1423" r:id="rId1189" xr:uid="{3C88C1F8-4605-4429-920C-4FE4C616964E}"/>
    <hyperlink ref="F1424" r:id="rId1190" xr:uid="{4EFF9560-8E53-4949-A681-DAFDD12FF0C0}"/>
    <hyperlink ref="F1425" r:id="rId1191" xr:uid="{4891D0E3-7A66-4D72-9AB5-C7208787D8A6}"/>
    <hyperlink ref="F1426" r:id="rId1192" xr:uid="{097A5462-5227-4651-A284-86F9A4123CEA}"/>
    <hyperlink ref="F1427" r:id="rId1193" xr:uid="{25A934C5-53BD-47F8-812C-4AEB0EF7AE57}"/>
    <hyperlink ref="F1428" r:id="rId1194" xr:uid="{56147543-68B5-4D7D-B189-F94307DC3AEB}"/>
    <hyperlink ref="F1429" r:id="rId1195" xr:uid="{E762B365-18B4-4B7B-BEEA-B6031E70BB96}"/>
    <hyperlink ref="F1430" r:id="rId1196" xr:uid="{FF70AC05-9209-4B4E-A6D3-2D1D6DADA999}"/>
    <hyperlink ref="F1431" r:id="rId1197" xr:uid="{76954A53-27F4-4842-A365-9EEFE5EEF95F}"/>
    <hyperlink ref="F1432" r:id="rId1198" xr:uid="{E0C2F884-21CD-42DC-A7E8-E6227BB53297}"/>
    <hyperlink ref="F1433" r:id="rId1199" xr:uid="{B0F5AD09-D4A1-4D3E-8C6A-11C5CFDBD71B}"/>
    <hyperlink ref="F1434" r:id="rId1200" xr:uid="{9228CAAE-D382-4B7D-B5FE-76E26C64418D}"/>
    <hyperlink ref="F1435" r:id="rId1201" xr:uid="{38B84568-E96E-4444-AC24-B1D671E4BE1F}"/>
    <hyperlink ref="F1436" r:id="rId1202" xr:uid="{394AAA95-05EA-41A0-97B8-B03AA50DC90B}"/>
    <hyperlink ref="F1437" r:id="rId1203" xr:uid="{DAC5B4CD-700A-44ED-A99C-1515A6B2B70C}"/>
    <hyperlink ref="F1438" r:id="rId1204" xr:uid="{ADBF4B46-09C6-45C7-9C48-1DE36ACB895B}"/>
    <hyperlink ref="F1439" r:id="rId1205" xr:uid="{430A67E3-CAC2-43F4-B9BE-9951F298697F}"/>
    <hyperlink ref="F1440" r:id="rId1206" xr:uid="{53746B53-25AB-475A-B855-93649AF0CA9D}"/>
    <hyperlink ref="F1441" r:id="rId1207" xr:uid="{79DDD24B-3DB5-4F88-B9C6-D960F1615BE0}"/>
    <hyperlink ref="F1442" r:id="rId1208" xr:uid="{C5600DF1-54E1-4B1C-983A-6241911B0FCE}"/>
    <hyperlink ref="F1443" r:id="rId1209" xr:uid="{59896387-A60C-4519-9E62-0EC1C2EE69FA}"/>
    <hyperlink ref="F1444" r:id="rId1210" xr:uid="{9FE03B8E-2D28-41A9-81DD-0020CD850307}"/>
    <hyperlink ref="F1445" r:id="rId1211" xr:uid="{346637F2-C50F-4D3A-981E-7729F437D4A7}"/>
    <hyperlink ref="F1446" r:id="rId1212" xr:uid="{850A9BFC-0D8E-457F-8510-D77A418D10A0}"/>
    <hyperlink ref="F1447" r:id="rId1213" xr:uid="{7A9EB80A-64B6-4B94-87D5-F5589CB1DFA6}"/>
    <hyperlink ref="F1448" r:id="rId1214" xr:uid="{61D57E7C-0504-46AE-97D6-26FCC00443CB}"/>
    <hyperlink ref="F1449" r:id="rId1215" xr:uid="{21CBEF7E-FF3D-4BC2-8730-5E8EA10EC1A5}"/>
    <hyperlink ref="F1450" r:id="rId1216" xr:uid="{00860524-C9CF-4CDD-8255-39FA060C6C98}"/>
    <hyperlink ref="F1451" r:id="rId1217" xr:uid="{244B1AF1-813A-41EB-9875-748388714E05}"/>
    <hyperlink ref="F1452" r:id="rId1218" xr:uid="{4978231F-9C44-4C48-8292-C16CD6BA5408}"/>
    <hyperlink ref="F1453" r:id="rId1219" display="Мазь про мастопатии" xr:uid="{E48ED661-BD7A-4632-9869-6C5589FB6823}"/>
    <hyperlink ref="F1454" r:id="rId1220" xr:uid="{E21ADDB8-CD5E-4DDC-9AD3-B65506F76769}"/>
    <hyperlink ref="F1455" r:id="rId1221" xr:uid="{0C979BE3-5686-46B8-93D0-83726EDBF259}"/>
    <hyperlink ref="F1456" r:id="rId1222" display="100 уроков сольфеджио" xr:uid="{B9FEEC29-88C3-4C57-A709-152B4248EB4D}"/>
    <hyperlink ref="F1457" r:id="rId1223" display="Кабель Type-C 3 метра" xr:uid="{26880D6B-E2FE-4A0C-AEB1-9D8BCFA2DFF1}"/>
    <hyperlink ref="F1458" r:id="rId1224" xr:uid="{A1136702-E1D1-4EAF-8437-845055895ECA}"/>
    <hyperlink ref="F1459" r:id="rId1225" xr:uid="{380652BB-3FFA-479E-88AD-6CA3B560BDE8}"/>
    <hyperlink ref="F1460" r:id="rId1226" xr:uid="{6EA2D75C-EA10-4F03-A1B3-67004FAE917A}"/>
    <hyperlink ref="F1461" r:id="rId1227" xr:uid="{183A83D1-2769-4641-A72B-310DA664D2EE}"/>
    <hyperlink ref="F1462" r:id="rId1228" xr:uid="{028A8FAC-C6C4-47DA-A2FB-E4961D4E0AF9}"/>
    <hyperlink ref="F1463" r:id="rId1229" xr:uid="{E5069AFB-03F3-478B-BFC3-ACF807BC4D3F}"/>
    <hyperlink ref="F1464" r:id="rId1230" xr:uid="{496D3CD6-022B-41D9-AB7F-EAE572DEDE40}"/>
    <hyperlink ref="F1465" r:id="rId1231" xr:uid="{7877A73E-415B-41A0-8C47-E4BE20D2FC98}"/>
    <hyperlink ref="F1466" r:id="rId1232" xr:uid="{FFD85C3B-3CD4-4FD1-B994-4E9439FECEA6}"/>
    <hyperlink ref="F1467" r:id="rId1233" xr:uid="{9651A6F3-BF0A-4310-960C-57689D305BFA}"/>
    <hyperlink ref="F1468" r:id="rId1234" xr:uid="{B0161669-5B5C-4822-9E14-21E999296D5F}"/>
    <hyperlink ref="F1469" r:id="rId1235" xr:uid="{8E7F389B-B10C-4F56-824E-3B5C5E2DCED3}"/>
    <hyperlink ref="F1470" r:id="rId1236" xr:uid="{DCF3454B-081D-4A98-AD5F-2A15259428C1}"/>
    <hyperlink ref="F1471" r:id="rId1237" xr:uid="{3DCE0A80-4872-4A66-ADBE-AF144E66C03B}"/>
    <hyperlink ref="F1472" r:id="rId1238" xr:uid="{539C885F-C3E7-48F4-941B-28F2EE6CEFDB}"/>
    <hyperlink ref="F1473" r:id="rId1239" xr:uid="{801B4FC4-6965-485C-9844-579708C4B464}"/>
    <hyperlink ref="F1474" r:id="rId1240" xr:uid="{B7626E6D-78FF-4DEE-972E-0BBE9C6AFC48}"/>
    <hyperlink ref="F1475" r:id="rId1241" display="Пазлы для детей" xr:uid="{4F5D8FCD-B621-4D48-8215-BF9C00850B59}"/>
    <hyperlink ref="F1476" r:id="rId1242" display="Пазлы для детей" xr:uid="{A7A8D1E4-4582-4050-9D04-842D61E6509B}"/>
    <hyperlink ref="F1477" r:id="rId1243" xr:uid="{DBFCF6C3-013E-4FFE-9494-6F90D217306B}"/>
    <hyperlink ref="F1478" r:id="rId1244" xr:uid="{CF7B61B1-11C8-4CEB-ADDE-56F581EDE52E}"/>
    <hyperlink ref="F1479" r:id="rId1245" xr:uid="{EE13F824-DC11-4068-B28C-AB9D8C3AB1C5}"/>
    <hyperlink ref="F1480" r:id="rId1246" xr:uid="{F4350191-4DF5-4CB4-8A57-235E78E5DE3E}"/>
    <hyperlink ref="F1481" r:id="rId1247" xr:uid="{EC8A9FCA-87E8-4D2A-B251-8DC5AC1AFEE7}"/>
    <hyperlink ref="F1482" r:id="rId1248" xr:uid="{7A58FAE0-4AD6-43DC-96D8-38541BAD3A1E}"/>
    <hyperlink ref="F1483" r:id="rId1249" xr:uid="{9B2CA572-C0D5-4056-ACEC-06B5CA1DB51B}"/>
    <hyperlink ref="F1490" r:id="rId1250" xr:uid="{0689AF45-C4D0-40C6-927A-FF15368A9E12}"/>
    <hyperlink ref="F1491" r:id="rId1251" xr:uid="{04C33367-AC81-4FC1-8112-D72F7E100090}"/>
    <hyperlink ref="F1492" r:id="rId1252" xr:uid="{E1B70262-9CDD-46F8-81BB-D8C10E98791A}"/>
    <hyperlink ref="F1493" r:id="rId1253" xr:uid="{97A17867-0412-4DC1-BDA6-21ACBF00F5A1}"/>
    <hyperlink ref="F1494" r:id="rId1254" xr:uid="{9A7750D7-2844-453A-97E7-47EA495A63DD}"/>
    <hyperlink ref="F1495" r:id="rId1255" xr:uid="{D96C1C94-12C1-48B2-BDC7-44EFC1550A3F}"/>
    <hyperlink ref="F1496" r:id="rId1256" xr:uid="{FFA5FA28-1B02-46F8-9990-58DF213729E2}"/>
    <hyperlink ref="F1497" r:id="rId1257" xr:uid="{EC86C1DB-13E5-4AC3-96D8-B518DFE546B1}"/>
    <hyperlink ref="F1498" r:id="rId1258" xr:uid="{BA6E9DBD-7A97-4A8F-BA98-2A1AA239B415}"/>
    <hyperlink ref="F1499" r:id="rId1259" xr:uid="{FC98810D-A99C-4DCF-94FA-3A2CC78F263B}"/>
    <hyperlink ref="F1500" r:id="rId1260" xr:uid="{9900E61F-0E24-410F-9B68-3CE776D04D42}"/>
    <hyperlink ref="F1501" r:id="rId1261" xr:uid="{AA69C1E6-C289-4FAD-BF4B-7DDD75FDFC15}"/>
    <hyperlink ref="F1502" r:id="rId1262" xr:uid="{A5F52008-C20C-482B-8E96-F8E87E4B257A}"/>
    <hyperlink ref="F1503" r:id="rId1263" xr:uid="{8747D07F-B247-482D-B20D-4C82C3CD5353}"/>
    <hyperlink ref="F1504" r:id="rId1264" xr:uid="{FA7B4B24-F6E8-4CAF-9073-E4E2D6B4CBFA}"/>
    <hyperlink ref="F1505" r:id="rId1265" xr:uid="{187DEAD9-D3FC-4EDE-B804-BABD1E50BEFB}"/>
    <hyperlink ref="F1506" r:id="rId1266" xr:uid="{85E4F51D-103A-4D4D-B625-B67FBE5F7DBD}"/>
    <hyperlink ref="F1507" r:id="rId1267" xr:uid="{D88D8A66-DB12-4253-BD75-E53E02C162EF}"/>
    <hyperlink ref="F1508" r:id="rId1268" xr:uid="{CD4A589E-C5CD-47BD-AF72-707010A5E25E}"/>
    <hyperlink ref="F1509" r:id="rId1269" xr:uid="{A7B40B22-DE95-4FA8-B1AB-32DB43C0843E}"/>
    <hyperlink ref="F1510" r:id="rId1270" xr:uid="{84D9A61B-9945-438C-8A05-E54DA5D021B8}"/>
    <hyperlink ref="F1511" r:id="rId1271" xr:uid="{4A418DAC-7B6F-4285-965F-E1C21FC7D86B}"/>
    <hyperlink ref="F1512" r:id="rId1272" xr:uid="{507654A9-F5AC-48C4-9570-BBF04B06D82C}"/>
    <hyperlink ref="F1513" r:id="rId1273" xr:uid="{66DE80D6-CE9F-43BF-AFAC-787EDBA12F1B}"/>
    <hyperlink ref="F1514" r:id="rId1274" xr:uid="{CF8F6B64-A61B-4892-990C-719D842F7B44}"/>
    <hyperlink ref="F1515" r:id="rId1275" xr:uid="{44465DEA-21FD-4289-B140-0B3DDA26BA71}"/>
    <hyperlink ref="F1516" r:id="rId1276" xr:uid="{8E6C008F-D438-441C-BAE6-D8586E8E6A70}"/>
    <hyperlink ref="F1517" r:id="rId1277" xr:uid="{027CA393-694F-4ABC-B92C-DBDB3E92E081}"/>
    <hyperlink ref="F1518" r:id="rId1278" xr:uid="{50134A0B-5B2F-439B-B999-A8BD5A84F4F0}"/>
    <hyperlink ref="F1519" r:id="rId1279" xr:uid="{B62D6302-8674-4583-AD87-E8A43959E5B2}"/>
    <hyperlink ref="F1524" r:id="rId1280" xr:uid="{2A8104AB-A7E8-495D-BA9C-B79B7BE4F258}"/>
    <hyperlink ref="F1525" r:id="rId1281" xr:uid="{1A607C21-5A4D-4B6C-9D4F-44CD41D9472A}"/>
    <hyperlink ref="F1526" r:id="rId1282" xr:uid="{9689CFA2-5E57-458E-8ACE-D3D6F1B24702}"/>
    <hyperlink ref="F1527" r:id="rId1283" display="Ночник" xr:uid="{481251CB-BE4C-49C0-B79B-18F5EA59D578}"/>
    <hyperlink ref="F1528" r:id="rId1284" xr:uid="{16121AF6-88EB-4E56-9415-04A499BC4C7F}"/>
    <hyperlink ref="F1529" r:id="rId1285" xr:uid="{BDFE0853-D25C-4102-94DE-AA02944CFBB6}"/>
    <hyperlink ref="F1532" r:id="rId1286" xr:uid="{56AA3D59-3D8B-46CC-9F43-D9DD6AE7D366}"/>
    <hyperlink ref="F1531" r:id="rId1287" xr:uid="{173A016A-17B9-478D-A60E-87A36B96416F}"/>
    <hyperlink ref="F1533" r:id="rId1288" xr:uid="{2A07D4B7-EF10-45A7-9E59-84A8EC1E407C}"/>
    <hyperlink ref="F1534" r:id="rId1289" xr:uid="{AF4ED02E-9EB9-48E7-A76A-0C9338E8DF6C}"/>
    <hyperlink ref="F1536" r:id="rId1290" xr:uid="{7DA38DD8-66A7-4651-8A4D-48C1342F1147}"/>
    <hyperlink ref="F1537" r:id="rId1291" xr:uid="{9C5A7965-6E29-4D09-B89F-045F7C631C9E}"/>
    <hyperlink ref="F1538" r:id="rId1292" xr:uid="{E3D9EB01-B2DA-4DAB-8DFD-CB8AC84ED13D}"/>
    <hyperlink ref="F1539" r:id="rId1293" xr:uid="{9F7F93B1-8653-4927-B1B5-313346AE7153}"/>
    <hyperlink ref="F1540" r:id="rId1294" xr:uid="{4F15657F-77D7-4D02-AB2A-F7FD3C7B6363}"/>
    <hyperlink ref="F1541" r:id="rId1295" xr:uid="{CA7B8441-DF96-4558-A002-D4917FEC39B6}"/>
    <hyperlink ref="F1542" r:id="rId1296" xr:uid="{19DC7034-545D-4FCD-9E18-9B2FD0AC7809}"/>
    <hyperlink ref="F1543" r:id="rId1297" xr:uid="{F9FEEA6C-FD86-42F7-92F0-B105EBB66F8A}"/>
    <hyperlink ref="F1535" r:id="rId1298" xr:uid="{C6A92F60-C0C7-4CF7-ABCA-E08B83183CF0}"/>
    <hyperlink ref="F1544" r:id="rId1299" xr:uid="{AF7FABA1-D5FC-4F8C-95E9-0BC9CA3569D2}"/>
    <hyperlink ref="F1545" r:id="rId1300" xr:uid="{7BAF0FE2-B62E-423D-9128-C9C823477F0F}"/>
    <hyperlink ref="F1546" r:id="rId1301" xr:uid="{15023F90-373B-46E0-B358-4B5DA4AC4B8B}"/>
    <hyperlink ref="F1547" r:id="rId1302" xr:uid="{5DC07096-DE99-4F19-886B-FB860830E0A9}"/>
    <hyperlink ref="F1548" r:id="rId1303" xr:uid="{389F4855-EA60-4D2C-9318-5471EBB21654}"/>
    <hyperlink ref="F1549" r:id="rId1304" xr:uid="{1A63551B-5D1E-470A-98D4-75D2526BFB4E}"/>
    <hyperlink ref="F1551" r:id="rId1305" xr:uid="{55A0D4CB-1D77-4B9D-AF97-9BA78EAC24CF}"/>
    <hyperlink ref="F1550" r:id="rId1306" xr:uid="{09792940-6268-40C2-8DD4-0C0063F41352}"/>
    <hyperlink ref="F1552" r:id="rId1307" xr:uid="{72B4CE1F-251F-45F7-B6A3-9AD938A1B397}"/>
    <hyperlink ref="F1553" r:id="rId1308" xr:uid="{01144902-9C47-4BA8-8BF7-1172B65191F7}"/>
    <hyperlink ref="F1554" r:id="rId1309" xr:uid="{83F96C38-C8B2-4871-8D8A-07519FA046B0}"/>
    <hyperlink ref="F1555" r:id="rId1310" xr:uid="{3038E174-DE4E-4DB7-8A49-378DA0FAFD25}"/>
    <hyperlink ref="F1556" r:id="rId1311" xr:uid="{02DDA022-D8A1-4680-8416-F1BB9071B4C2}"/>
    <hyperlink ref="F1557" r:id="rId1312" xr:uid="{22E009DD-983F-4B0F-BF44-3106C853FBD7}"/>
    <hyperlink ref="F1558" r:id="rId1313" xr:uid="{81C62260-4AD4-4DAB-8DA6-E6E2386995FA}"/>
    <hyperlink ref="F1559" r:id="rId1314" xr:uid="{D4B83B6C-CBF2-4C1F-A405-DEF8AED60BD4}"/>
    <hyperlink ref="F1530" r:id="rId1315" xr:uid="{3932DF4D-142D-4F22-90F1-433A172C348B}"/>
    <hyperlink ref="F1560" r:id="rId1316" xr:uid="{00D9B4AD-E33A-4D3F-A252-CBC9747DFEF3}"/>
    <hyperlink ref="F1561" r:id="rId1317" xr:uid="{272FF1E3-DB5E-4E66-BA19-871AA8D25AA4}"/>
    <hyperlink ref="F1568" r:id="rId1318" xr:uid="{082A76EA-1CC5-4DEB-909F-275D9011C56B}"/>
    <hyperlink ref="F1569" r:id="rId1319" xr:uid="{653B6EB6-B087-434B-8E91-FC0DE363C283}"/>
    <hyperlink ref="F1570" r:id="rId1320" xr:uid="{29E63B31-C102-4B44-8140-4AA19CD48C14}"/>
    <hyperlink ref="F1571" r:id="rId1321" xr:uid="{A4A31CD8-24F5-40A9-9187-88CA1FED546C}"/>
    <hyperlink ref="F1572" r:id="rId1322" xr:uid="{A14684EC-B705-4FEA-A412-58D9462617B1}"/>
    <hyperlink ref="F1573" r:id="rId1323" xr:uid="{3D7B439D-BAA4-437B-AD2E-B92F70DB8BB0}"/>
    <hyperlink ref="F1577" r:id="rId1324" xr:uid="{2A7AFF22-C070-4825-87BC-31B4CC564AE4}"/>
    <hyperlink ref="F1578" r:id="rId1325" xr:uid="{449A74E7-37D1-4306-A4E2-68EA483441DE}"/>
    <hyperlink ref="F1579" r:id="rId1326" xr:uid="{5B282C71-0C2C-45EB-8AA7-3EDA3C64A581}"/>
    <hyperlink ref="F1580" r:id="rId1327" xr:uid="{D2BEB977-A4B7-430B-944B-D30540233C8E}"/>
    <hyperlink ref="F1581" r:id="rId1328" xr:uid="{58357E3A-DB24-4AD0-9798-64052814646B}"/>
    <hyperlink ref="F1582" r:id="rId1329" display="Рвбочистка" xr:uid="{D8C0ED39-B2F0-40E9-8116-CA968CFFBE2E}"/>
    <hyperlink ref="F1583" r:id="rId1330" xr:uid="{6030A5B2-FEF5-4029-B668-65BD837CC3BE}"/>
    <hyperlink ref="F1584" r:id="rId1331" xr:uid="{518F33F1-1EA1-4253-9ED0-5114E77B886A}"/>
    <hyperlink ref="F1585" r:id="rId1332" display="Ниливер лазерный" xr:uid="{84407CE7-2239-4E51-A455-1C2ED6EA86EB}"/>
    <hyperlink ref="F1586" r:id="rId1333" xr:uid="{7EF5FD70-1D6C-4A74-BF47-5AE85DF12A87}"/>
    <hyperlink ref="F1587" r:id="rId1334" xr:uid="{BD3BA476-D9CC-434D-9A78-E2DB91206484}"/>
    <hyperlink ref="F1588" r:id="rId1335" xr:uid="{9C1BDF68-352F-4637-89C5-ADE1EDFD1BAF}"/>
    <hyperlink ref="F1589" r:id="rId1336" xr:uid="{079D3160-6712-4678-8643-F56B87205255}"/>
    <hyperlink ref="F1590" r:id="rId1337" xr:uid="{0509BC6E-D310-4721-98CE-C3AB0E904EF2}"/>
    <hyperlink ref="F1591" r:id="rId1338" xr:uid="{3C07B254-1982-484A-B18F-E3EDEBE3486E}"/>
    <hyperlink ref="F1592" r:id="rId1339" xr:uid="{2DC78940-45DE-44C3-9E84-7848F78BE69C}"/>
    <hyperlink ref="F1593" r:id="rId1340" xr:uid="{0CCA7DE4-AECB-4518-ADE8-6D8B2AC9522C}"/>
    <hyperlink ref="F1594" r:id="rId1341" xr:uid="{4B19D2D9-003C-40D8-9332-0A160C9F7A93}"/>
    <hyperlink ref="F1595" r:id="rId1342" xr:uid="{7B3F7E74-5C55-4725-B3CD-41488F11E8D8}"/>
    <hyperlink ref="F1596" r:id="rId1343" xr:uid="{A867A026-90B9-4E4B-838F-3A81F5AD44D3}"/>
    <hyperlink ref="F1597" r:id="rId1344" xr:uid="{6E973165-4EF5-4331-9725-BFA6622442BB}"/>
    <hyperlink ref="F1598" r:id="rId1345" xr:uid="{886A3705-3FE1-45CA-8596-DD3C53CB9048}"/>
    <hyperlink ref="F1599" r:id="rId1346" xr:uid="{A7CAE93D-1143-436A-BE75-A637700333BF}"/>
    <hyperlink ref="F1600" r:id="rId1347" xr:uid="{F29A7538-3834-4929-AB91-EBC35C3A9B51}"/>
    <hyperlink ref="F1601" r:id="rId1348" xr:uid="{F40C768B-C740-44AA-BD5E-4694A21B50E3}"/>
    <hyperlink ref="F1602" r:id="rId1349" xr:uid="{ACDD4A05-1AC9-4EDB-A33D-AE603013F766}"/>
    <hyperlink ref="F1603" r:id="rId1350" xr:uid="{8B070FCF-CCAF-4653-879D-305ECC125688}"/>
    <hyperlink ref="F1604" r:id="rId1351" xr:uid="{344B004C-B4F9-46C7-A23F-7688DCF1015C}"/>
    <hyperlink ref="F1606" r:id="rId1352" xr:uid="{02A2834B-F010-4C7B-9DF4-FD4699455871}"/>
    <hyperlink ref="F1611" r:id="rId1353" xr:uid="{F2C4B80A-55BA-4072-88FA-5C76EEEC7C96}"/>
    <hyperlink ref="F1612" r:id="rId1354" xr:uid="{4A68BCDB-5FB4-43E6-8CE9-36B948CCD9D2}"/>
    <hyperlink ref="F1613" r:id="rId1355" xr:uid="{A1A77F95-BA57-475E-A6A0-8F858BD41A76}"/>
    <hyperlink ref="F1614" r:id="rId1356" display="Гирлянда с эффектом водопад" xr:uid="{FAFB9923-7C4F-4334-A356-5AFD9097E789}"/>
    <hyperlink ref="F1615" r:id="rId1357" xr:uid="{3412E0C0-99B6-4C31-BD9A-E5E61EDD4225}"/>
    <hyperlink ref="F1616" r:id="rId1358" xr:uid="{23909820-A1DF-48DE-BBBA-5C51EAE003F8}"/>
    <hyperlink ref="F1617" r:id="rId1359" xr:uid="{5C9D6401-102C-4BEA-A7D9-84B3FCC62FC3}"/>
    <hyperlink ref="F1618" r:id="rId1360" xr:uid="{CD70980B-6681-498B-987D-0FB3F172CCEC}"/>
    <hyperlink ref="F1619" r:id="rId1361" xr:uid="{D158F55E-CC90-46B1-923E-337FA8730871}"/>
    <hyperlink ref="F1620" r:id="rId1362" xr:uid="{4E5B0928-6825-4F51-B74F-DAC86A0030B3}"/>
    <hyperlink ref="F1621" r:id="rId1363" xr:uid="{AEF806E9-3149-49CE-9371-3CA2739C1FCD}"/>
    <hyperlink ref="F1622" r:id="rId1364" xr:uid="{46FED5B0-DAE8-4738-8985-401B94F4BC8A}"/>
    <hyperlink ref="F1623" r:id="rId1365" xr:uid="{F7C026BE-A7F1-48E7-9F8C-FAE48D82B70D}"/>
    <hyperlink ref="F1624" r:id="rId1366" xr:uid="{8800DEEF-99B0-46DA-AE34-8686CF8C2328}"/>
    <hyperlink ref="F1625" r:id="rId1367" xr:uid="{AACBD9E8-DA83-47A4-A3B3-28D041DA800F}"/>
    <hyperlink ref="F1626" r:id="rId1368" xr:uid="{8A50B679-14F5-441A-A787-2415CDB02846}"/>
    <hyperlink ref="F1627" r:id="rId1369" xr:uid="{BC325F13-885A-482C-AD2B-156FF42AE5D9}"/>
    <hyperlink ref="F1628" r:id="rId1370" xr:uid="{790DA202-B94A-433D-9FA4-24F5DBC9C691}"/>
    <hyperlink ref="F1629" r:id="rId1371" xr:uid="{0A10F686-40BB-42ED-84A5-74E12238AA89}"/>
    <hyperlink ref="F1630" r:id="rId1372" xr:uid="{46F06B30-DE0E-4447-B4EB-CA8B1567BFC7}"/>
    <hyperlink ref="F1631" r:id="rId1373" xr:uid="{3902351F-3FBF-4438-8A96-D64E89B62B4F}"/>
    <hyperlink ref="F1633" r:id="rId1374" xr:uid="{169E7157-E55B-43BF-BFDD-3D63EEAA5F8C}"/>
    <hyperlink ref="F1634" r:id="rId1375" xr:uid="{FA88D466-6B1F-4E40-A01E-47B6787D00F5}"/>
    <hyperlink ref="F1635" r:id="rId1376" xr:uid="{E9124549-0BE8-4EAA-A255-7755D33BA1AF}"/>
    <hyperlink ref="F1636" r:id="rId1377" xr:uid="{0A8942A8-C007-45DD-9047-A8FFB9CBAF99}"/>
    <hyperlink ref="F1637" r:id="rId1378" xr:uid="{79FACBF3-1456-41FB-A982-CEFA9F1FB7B4}"/>
    <hyperlink ref="F1638" r:id="rId1379" xr:uid="{DC784397-CBEE-428F-8A0E-CBB95F2F2351}"/>
    <hyperlink ref="F1639" r:id="rId1380" xr:uid="{95EC0868-C84B-4988-8FC7-9612D76D8AC2}"/>
    <hyperlink ref="F1640" r:id="rId1381" xr:uid="{034BC3A7-DF26-469B-8B61-B1FD2A57D037}"/>
  </hyperlinks>
  <pageMargins left="0.7" right="0.7" top="0.75" bottom="0.75" header="0.3" footer="0.3"/>
  <pageSetup paperSize="9" orientation="portrait" r:id="rId1382"/>
  <legacyDrawing r:id="rId1383"/>
  <tableParts count="1">
    <tablePart r:id="rId138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Клиенты</vt:lpstr>
      <vt:lpstr>Заказы</vt:lpstr>
      <vt:lpstr>Позиции</vt:lpstr>
      <vt:lpstr>Клиенты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Алексей Шурыгин</dc:creator>
  <cp:keywords/>
  <dc:description/>
  <cp:lastModifiedBy>Алексей Шурыгин</cp:lastModifiedBy>
  <cp:revision/>
  <dcterms:created xsi:type="dcterms:W3CDTF">2024-03-10T14:45:40Z</dcterms:created>
  <dcterms:modified xsi:type="dcterms:W3CDTF">2025-01-15T09:32:55Z</dcterms:modified>
  <cp:category/>
  <cp:contentStatus/>
</cp:coreProperties>
</file>